
<file path=[Content_Types].xml><?xml version="1.0" encoding="utf-8"?>
<Types xmlns="http://schemas.openxmlformats.org/package/2006/content-types">
  <Default Extension="bin" ContentType="application/vnd.openxmlformats-officedocument.spreadsheetml.printerSettings"/>
  <Default Extension="png" ContentType="image/png"/>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charts/chart2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charts/chart2.xml" ContentType="application/vnd.openxmlformats-officedocument.drawingml.chart+xml"/>
  <Default Extension="jpeg" ContentType="image/jpeg"/>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worksheets/sheet1.xml" ContentType="application/vnd.openxmlformats-officedocument.spreadsheetml.worksheet+xml"/>
  <Override PartName="/xl/charts/chart16.xml" ContentType="application/vnd.openxmlformats-officedocument.drawingml.chart+xml"/>
  <Override PartName="/xl/charts/chart17.xml" ContentType="application/vnd.openxmlformats-officedocument.drawingml.chart+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75" yWindow="315" windowWidth="12525" windowHeight="15480" activeTab="1"/>
  </bookViews>
  <sheets>
    <sheet name="Parameters" sheetId="5" r:id="rId1"/>
    <sheet name="OM603 Stock" sheetId="3" r:id="rId2"/>
    <sheet name="OM603 Aftercooled" sheetId="6" r:id="rId3"/>
    <sheet name="OM603 Super 60" sheetId="7" r:id="rId4"/>
  </sheets>
  <calcPr calcId="125725"/>
</workbook>
</file>

<file path=xl/calcChain.xml><?xml version="1.0" encoding="utf-8"?>
<calcChain xmlns="http://schemas.openxmlformats.org/spreadsheetml/2006/main">
  <c r="I73" i="7"/>
  <c r="H73"/>
  <c r="G73"/>
  <c r="F73"/>
  <c r="E73"/>
  <c r="D73"/>
  <c r="I72"/>
  <c r="H72"/>
  <c r="G72"/>
  <c r="F72"/>
  <c r="E72"/>
  <c r="D72"/>
  <c r="I45"/>
  <c r="I46" s="1"/>
  <c r="H45"/>
  <c r="H46" s="1"/>
  <c r="G45"/>
  <c r="G46" s="1"/>
  <c r="F45"/>
  <c r="F46" s="1"/>
  <c r="E45"/>
  <c r="E46" s="1"/>
  <c r="D45"/>
  <c r="D46" s="1"/>
  <c r="I42"/>
  <c r="I44" s="1"/>
  <c r="H42"/>
  <c r="H44" s="1"/>
  <c r="G42"/>
  <c r="G44" s="1"/>
  <c r="F42"/>
  <c r="F44" s="1"/>
  <c r="E42"/>
  <c r="E44" s="1"/>
  <c r="D42"/>
  <c r="D44" s="1"/>
  <c r="I73" i="6"/>
  <c r="H73"/>
  <c r="G73"/>
  <c r="F73"/>
  <c r="E73"/>
  <c r="D73"/>
  <c r="I72"/>
  <c r="H72"/>
  <c r="G72"/>
  <c r="F72"/>
  <c r="E72"/>
  <c r="D72"/>
  <c r="I45"/>
  <c r="I46" s="1"/>
  <c r="H45"/>
  <c r="H46" s="1"/>
  <c r="G45"/>
  <c r="G46" s="1"/>
  <c r="F45"/>
  <c r="F46" s="1"/>
  <c r="E45"/>
  <c r="E46" s="1"/>
  <c r="D45"/>
  <c r="D46" s="1"/>
  <c r="I42"/>
  <c r="I44" s="1"/>
  <c r="H42"/>
  <c r="H44" s="1"/>
  <c r="G42"/>
  <c r="G44" s="1"/>
  <c r="F42"/>
  <c r="F44" s="1"/>
  <c r="E42"/>
  <c r="E44" s="1"/>
  <c r="D42"/>
  <c r="D44" s="1"/>
  <c r="C27" i="5"/>
  <c r="C26"/>
  <c r="C25"/>
  <c r="C6"/>
  <c r="C5"/>
  <c r="D73" i="3"/>
  <c r="E73"/>
  <c r="F73"/>
  <c r="G73"/>
  <c r="H73"/>
  <c r="I73"/>
  <c r="E72"/>
  <c r="F72"/>
  <c r="G72"/>
  <c r="H72"/>
  <c r="I72"/>
  <c r="D72"/>
  <c r="I45"/>
  <c r="I46" s="1"/>
  <c r="I42"/>
  <c r="I43" s="1"/>
  <c r="H45"/>
  <c r="H46" s="1"/>
  <c r="H51" s="1"/>
  <c r="H52" s="1"/>
  <c r="H57" s="1"/>
  <c r="H60" s="1"/>
  <c r="H61" s="1"/>
  <c r="G45"/>
  <c r="G46" s="1"/>
  <c r="F45"/>
  <c r="F46" s="1"/>
  <c r="F51" s="1"/>
  <c r="E45"/>
  <c r="E46" s="1"/>
  <c r="H42"/>
  <c r="H43" s="1"/>
  <c r="G42"/>
  <c r="G43" s="1"/>
  <c r="F42"/>
  <c r="F43" s="1"/>
  <c r="E42"/>
  <c r="E43" s="1"/>
  <c r="D42"/>
  <c r="D44" s="1"/>
  <c r="D45"/>
  <c r="D46" s="1"/>
  <c r="H44"/>
  <c r="I44"/>
  <c r="I50" s="1"/>
  <c r="D50" i="7" l="1"/>
  <c r="D47"/>
  <c r="F50"/>
  <c r="F47"/>
  <c r="H50"/>
  <c r="H47"/>
  <c r="D52"/>
  <c r="D57" s="1"/>
  <c r="D60" s="1"/>
  <c r="D61" s="1"/>
  <c r="D51"/>
  <c r="H52"/>
  <c r="H57" s="1"/>
  <c r="H60" s="1"/>
  <c r="H61" s="1"/>
  <c r="H51"/>
  <c r="E50"/>
  <c r="E47"/>
  <c r="G50"/>
  <c r="G47"/>
  <c r="I50"/>
  <c r="I47"/>
  <c r="E52"/>
  <c r="E57" s="1"/>
  <c r="E60" s="1"/>
  <c r="E61" s="1"/>
  <c r="E51"/>
  <c r="G52"/>
  <c r="G57" s="1"/>
  <c r="G60" s="1"/>
  <c r="G61" s="1"/>
  <c r="G51"/>
  <c r="I52"/>
  <c r="I57" s="1"/>
  <c r="I60" s="1"/>
  <c r="I61" s="1"/>
  <c r="I51"/>
  <c r="F52"/>
  <c r="F57" s="1"/>
  <c r="F60" s="1"/>
  <c r="F61" s="1"/>
  <c r="F51"/>
  <c r="E43"/>
  <c r="G43"/>
  <c r="I43"/>
  <c r="D43"/>
  <c r="F43"/>
  <c r="H43"/>
  <c r="D50" i="6"/>
  <c r="D47"/>
  <c r="F50"/>
  <c r="F47"/>
  <c r="D51"/>
  <c r="D52" s="1"/>
  <c r="D57" s="1"/>
  <c r="D60" s="1"/>
  <c r="D61" s="1"/>
  <c r="F51"/>
  <c r="F52" s="1"/>
  <c r="F57" s="1"/>
  <c r="F60" s="1"/>
  <c r="F61" s="1"/>
  <c r="H51"/>
  <c r="H52" s="1"/>
  <c r="H57" s="1"/>
  <c r="H60" s="1"/>
  <c r="H61" s="1"/>
  <c r="E50"/>
  <c r="E47"/>
  <c r="G50"/>
  <c r="G47"/>
  <c r="I50"/>
  <c r="I47"/>
  <c r="E51"/>
  <c r="E52" s="1"/>
  <c r="E57" s="1"/>
  <c r="E60" s="1"/>
  <c r="E61" s="1"/>
  <c r="G51"/>
  <c r="G52" s="1"/>
  <c r="G57" s="1"/>
  <c r="G60" s="1"/>
  <c r="G61" s="1"/>
  <c r="I51"/>
  <c r="I52" s="1"/>
  <c r="I57" s="1"/>
  <c r="I60" s="1"/>
  <c r="I61" s="1"/>
  <c r="H50"/>
  <c r="H47"/>
  <c r="E43"/>
  <c r="G43"/>
  <c r="I43"/>
  <c r="D43"/>
  <c r="F43"/>
  <c r="H43"/>
  <c r="E44" i="3"/>
  <c r="E50" s="1"/>
  <c r="E56" s="1"/>
  <c r="E59" s="1"/>
  <c r="G44"/>
  <c r="H47"/>
  <c r="I56"/>
  <c r="I59" s="1"/>
  <c r="D51"/>
  <c r="D52" s="1"/>
  <c r="D57" s="1"/>
  <c r="D60" s="1"/>
  <c r="D61" s="1"/>
  <c r="E51"/>
  <c r="E52" s="1"/>
  <c r="E47"/>
  <c r="H66"/>
  <c r="H67" s="1"/>
  <c r="I51"/>
  <c r="I52" s="1"/>
  <c r="I57" s="1"/>
  <c r="I60" s="1"/>
  <c r="I61" s="1"/>
  <c r="I47"/>
  <c r="D47"/>
  <c r="D50"/>
  <c r="G51"/>
  <c r="G52" s="1"/>
  <c r="G57" s="1"/>
  <c r="G60" s="1"/>
  <c r="G61" s="1"/>
  <c r="D43"/>
  <c r="F44"/>
  <c r="F52"/>
  <c r="F57" s="1"/>
  <c r="F60" s="1"/>
  <c r="F61" s="1"/>
  <c r="H50"/>
  <c r="G66" i="7" l="1"/>
  <c r="G67" s="1"/>
  <c r="H66"/>
  <c r="H67" s="1"/>
  <c r="D56"/>
  <c r="D59" s="1"/>
  <c r="D53"/>
  <c r="D58" s="1"/>
  <c r="F66"/>
  <c r="F67" s="1"/>
  <c r="I66"/>
  <c r="I67" s="1"/>
  <c r="E66"/>
  <c r="E67" s="1"/>
  <c r="I56"/>
  <c r="I59" s="1"/>
  <c r="I53"/>
  <c r="I58" s="1"/>
  <c r="G56"/>
  <c r="G59" s="1"/>
  <c r="G53"/>
  <c r="G58" s="1"/>
  <c r="E56"/>
  <c r="E59" s="1"/>
  <c r="E53"/>
  <c r="E58" s="1"/>
  <c r="D66"/>
  <c r="D67" s="1"/>
  <c r="H56"/>
  <c r="H59" s="1"/>
  <c r="H53"/>
  <c r="H58" s="1"/>
  <c r="F56"/>
  <c r="F59" s="1"/>
  <c r="F53"/>
  <c r="F58" s="1"/>
  <c r="I66" i="6"/>
  <c r="I67" s="1"/>
  <c r="E66"/>
  <c r="E67" s="1"/>
  <c r="F66"/>
  <c r="F67" s="1"/>
  <c r="G66"/>
  <c r="G67" s="1"/>
  <c r="H66"/>
  <c r="H67" s="1"/>
  <c r="D66"/>
  <c r="D67" s="1"/>
  <c r="H56"/>
  <c r="H59" s="1"/>
  <c r="H53"/>
  <c r="H58" s="1"/>
  <c r="I56"/>
  <c r="I59" s="1"/>
  <c r="I53"/>
  <c r="I58" s="1"/>
  <c r="G56"/>
  <c r="G59" s="1"/>
  <c r="G53"/>
  <c r="G58" s="1"/>
  <c r="E56"/>
  <c r="E59" s="1"/>
  <c r="E53"/>
  <c r="E58" s="1"/>
  <c r="F56"/>
  <c r="F59" s="1"/>
  <c r="F53"/>
  <c r="F58" s="1"/>
  <c r="D56"/>
  <c r="D59" s="1"/>
  <c r="D53"/>
  <c r="D58" s="1"/>
  <c r="G47" i="3"/>
  <c r="G50"/>
  <c r="G56" s="1"/>
  <c r="G59" s="1"/>
  <c r="G65" s="1"/>
  <c r="E57"/>
  <c r="E60" s="1"/>
  <c r="E61" s="1"/>
  <c r="E62" s="1"/>
  <c r="E53"/>
  <c r="E58" s="1"/>
  <c r="D66"/>
  <c r="D67" s="1"/>
  <c r="H56"/>
  <c r="H59" s="1"/>
  <c r="H53"/>
  <c r="H58" s="1"/>
  <c r="F50"/>
  <c r="F47"/>
  <c r="F66"/>
  <c r="F67" s="1"/>
  <c r="E65"/>
  <c r="D53"/>
  <c r="D58" s="1"/>
  <c r="D56"/>
  <c r="D59" s="1"/>
  <c r="I53"/>
  <c r="I58" s="1"/>
  <c r="G66"/>
  <c r="G67" s="1"/>
  <c r="I66"/>
  <c r="I67" s="1"/>
  <c r="I62"/>
  <c r="I65"/>
  <c r="F65" i="7" l="1"/>
  <c r="F62"/>
  <c r="H65"/>
  <c r="H62"/>
  <c r="E65"/>
  <c r="E62"/>
  <c r="G65"/>
  <c r="G62"/>
  <c r="I65"/>
  <c r="I62"/>
  <c r="D65"/>
  <c r="D62"/>
  <c r="D65" i="6"/>
  <c r="D62"/>
  <c r="F65"/>
  <c r="F62"/>
  <c r="E65"/>
  <c r="E62"/>
  <c r="G65"/>
  <c r="G62"/>
  <c r="I65"/>
  <c r="I62"/>
  <c r="H65"/>
  <c r="H62"/>
  <c r="G62" i="3"/>
  <c r="G53"/>
  <c r="G58" s="1"/>
  <c r="F56"/>
  <c r="F59" s="1"/>
  <c r="F53"/>
  <c r="F58" s="1"/>
  <c r="H62"/>
  <c r="H65"/>
  <c r="E66"/>
  <c r="E67" s="1"/>
  <c r="E68" s="1"/>
  <c r="E23" s="1"/>
  <c r="I68"/>
  <c r="I23" s="1"/>
  <c r="I20"/>
  <c r="D65"/>
  <c r="D62"/>
  <c r="E20"/>
  <c r="G68"/>
  <c r="G23" s="1"/>
  <c r="G20"/>
  <c r="D68" i="7" l="1"/>
  <c r="D23" s="1"/>
  <c r="D20"/>
  <c r="I68"/>
  <c r="I23" s="1"/>
  <c r="I20"/>
  <c r="G68"/>
  <c r="G23" s="1"/>
  <c r="G20"/>
  <c r="E68"/>
  <c r="E23" s="1"/>
  <c r="E20"/>
  <c r="H68"/>
  <c r="H23" s="1"/>
  <c r="H20"/>
  <c r="F68"/>
  <c r="F23" s="1"/>
  <c r="F20"/>
  <c r="H68" i="6"/>
  <c r="H23" s="1"/>
  <c r="H20"/>
  <c r="I68"/>
  <c r="I23" s="1"/>
  <c r="I20"/>
  <c r="G68"/>
  <c r="G23" s="1"/>
  <c r="G20"/>
  <c r="E68"/>
  <c r="E23" s="1"/>
  <c r="E20"/>
  <c r="F68"/>
  <c r="F23" s="1"/>
  <c r="F20"/>
  <c r="D68"/>
  <c r="D23" s="1"/>
  <c r="D20"/>
  <c r="E74" i="3"/>
  <c r="E17" s="1"/>
  <c r="E25"/>
  <c r="E22" s="1"/>
  <c r="E24"/>
  <c r="E21" s="1"/>
  <c r="G74"/>
  <c r="G17" s="1"/>
  <c r="G25"/>
  <c r="G22" s="1"/>
  <c r="G24"/>
  <c r="G21" s="1"/>
  <c r="D68"/>
  <c r="D23" s="1"/>
  <c r="D20"/>
  <c r="I74"/>
  <c r="I17" s="1"/>
  <c r="I25"/>
  <c r="I22" s="1"/>
  <c r="I24"/>
  <c r="I21" s="1"/>
  <c r="F62"/>
  <c r="F65"/>
  <c r="H20"/>
  <c r="H68"/>
  <c r="H23" s="1"/>
  <c r="F74" i="7" l="1"/>
  <c r="F17" s="1"/>
  <c r="F25"/>
  <c r="F22" s="1"/>
  <c r="F24"/>
  <c r="F21" s="1"/>
  <c r="H74"/>
  <c r="H17" s="1"/>
  <c r="H25"/>
  <c r="H22" s="1"/>
  <c r="H24"/>
  <c r="H21" s="1"/>
  <c r="E74"/>
  <c r="E17" s="1"/>
  <c r="E25"/>
  <c r="E22" s="1"/>
  <c r="E24"/>
  <c r="E21" s="1"/>
  <c r="G74"/>
  <c r="G17" s="1"/>
  <c r="G25"/>
  <c r="G22" s="1"/>
  <c r="G24"/>
  <c r="G21" s="1"/>
  <c r="I74"/>
  <c r="I17" s="1"/>
  <c r="I25"/>
  <c r="I22" s="1"/>
  <c r="I24"/>
  <c r="I21" s="1"/>
  <c r="D74"/>
  <c r="D17" s="1"/>
  <c r="D25"/>
  <c r="D22" s="1"/>
  <c r="D24"/>
  <c r="D21" s="1"/>
  <c r="D74" i="6"/>
  <c r="D17" s="1"/>
  <c r="D25"/>
  <c r="D22" s="1"/>
  <c r="D24"/>
  <c r="D21" s="1"/>
  <c r="F74"/>
  <c r="F17" s="1"/>
  <c r="F25"/>
  <c r="F22" s="1"/>
  <c r="F24"/>
  <c r="F21" s="1"/>
  <c r="E74"/>
  <c r="E17" s="1"/>
  <c r="E25"/>
  <c r="E22" s="1"/>
  <c r="E24"/>
  <c r="E21" s="1"/>
  <c r="G74"/>
  <c r="G17" s="1"/>
  <c r="G25"/>
  <c r="G22" s="1"/>
  <c r="G24"/>
  <c r="G21" s="1"/>
  <c r="I74"/>
  <c r="I17" s="1"/>
  <c r="I25"/>
  <c r="I22" s="1"/>
  <c r="I24"/>
  <c r="I21" s="1"/>
  <c r="H74"/>
  <c r="H17" s="1"/>
  <c r="H25"/>
  <c r="H22" s="1"/>
  <c r="H24"/>
  <c r="H21" s="1"/>
  <c r="H24" i="3"/>
  <c r="H21" s="1"/>
  <c r="H74"/>
  <c r="H17" s="1"/>
  <c r="H25"/>
  <c r="H22" s="1"/>
  <c r="F68"/>
  <c r="F23" s="1"/>
  <c r="F20"/>
  <c r="I18"/>
  <c r="I26"/>
  <c r="D25"/>
  <c r="D22" s="1"/>
  <c r="D24"/>
  <c r="D21" s="1"/>
  <c r="D74"/>
  <c r="D17" s="1"/>
  <c r="E26"/>
  <c r="E18"/>
  <c r="G18"/>
  <c r="G26"/>
  <c r="I26" i="7" l="1"/>
  <c r="I18"/>
  <c r="E26"/>
  <c r="E18"/>
  <c r="F26"/>
  <c r="F18"/>
  <c r="D26"/>
  <c r="D18"/>
  <c r="G26"/>
  <c r="G18"/>
  <c r="H26"/>
  <c r="H18"/>
  <c r="H26" i="6"/>
  <c r="H18"/>
  <c r="G26"/>
  <c r="G18"/>
  <c r="I26"/>
  <c r="I18"/>
  <c r="E26"/>
  <c r="E18"/>
  <c r="D26"/>
  <c r="D18"/>
  <c r="F26"/>
  <c r="F18"/>
  <c r="D26" i="3"/>
  <c r="D18"/>
  <c r="F74"/>
  <c r="F17" s="1"/>
  <c r="F25"/>
  <c r="F22" s="1"/>
  <c r="F24"/>
  <c r="F21" s="1"/>
  <c r="H18"/>
  <c r="H26"/>
  <c r="F26" l="1"/>
  <c r="F18"/>
</calcChain>
</file>

<file path=xl/sharedStrings.xml><?xml version="1.0" encoding="utf-8"?>
<sst xmlns="http://schemas.openxmlformats.org/spreadsheetml/2006/main" count="276" uniqueCount="74">
  <si>
    <t>psia</t>
  </si>
  <si>
    <t>psig</t>
  </si>
  <si>
    <t>deg F</t>
  </si>
  <si>
    <t>Fuel specific gravity</t>
  </si>
  <si>
    <t>Low Pressure Turbo</t>
  </si>
  <si>
    <t>Engine RPM</t>
  </si>
  <si>
    <t>Volumetric Efficiency</t>
  </si>
  <si>
    <t>Inlet Air Temperature</t>
  </si>
  <si>
    <t>lb/ft3</t>
  </si>
  <si>
    <t>Inlet Air Pressure</t>
  </si>
  <si>
    <t>Inlet Air Density</t>
  </si>
  <si>
    <t>High Pressure Turbo</t>
  </si>
  <si>
    <t>Outlet Density</t>
  </si>
  <si>
    <t>Outlet Temperature</t>
  </si>
  <si>
    <t>Outlet Temperature Rise</t>
  </si>
  <si>
    <t>Outlet Pressure</t>
  </si>
  <si>
    <t>Temperature Drop</t>
  </si>
  <si>
    <t>CFM</t>
  </si>
  <si>
    <t>lb/min</t>
  </si>
  <si>
    <t>Molecular Weight of Air</t>
  </si>
  <si>
    <t>Ambient Absolute Pressure</t>
  </si>
  <si>
    <t>INTER Cooler</t>
  </si>
  <si>
    <t>AFTER Cooler</t>
  </si>
  <si>
    <t>Ambient Air Temperature</t>
  </si>
  <si>
    <t>Intercooler Efficiency</t>
  </si>
  <si>
    <t>Aftercooler Efficiency</t>
  </si>
  <si>
    <t>Boost Pressure</t>
  </si>
  <si>
    <t>Garrett STP Density (lb/ft3)</t>
  </si>
  <si>
    <t>Engine Displacement (CID)</t>
  </si>
  <si>
    <t>Air Intake/Filter Pressure Drop</t>
  </si>
  <si>
    <t>LP Compressor Efficiency</t>
  </si>
  <si>
    <t>HP Compressor Efficiency</t>
  </si>
  <si>
    <t>Intercooler Pressure Drop</t>
  </si>
  <si>
    <t>Aftercooler Pressure Drop</t>
  </si>
  <si>
    <t>LP Turbo Flow</t>
  </si>
  <si>
    <t>HP Turbo Flow</t>
  </si>
  <si>
    <t>Air Fuel Ratio</t>
  </si>
  <si>
    <t>BSFC (lb/HP/hr)</t>
  </si>
  <si>
    <t>Engine Torque</t>
  </si>
  <si>
    <t>HP</t>
  </si>
  <si>
    <t>Engine Power</t>
  </si>
  <si>
    <t>lb ft</t>
  </si>
  <si>
    <t>Required Fuel Mass</t>
  </si>
  <si>
    <t>BMEP</t>
  </si>
  <si>
    <t>psi</t>
  </si>
  <si>
    <t>Charge cooler(s) air or water temp</t>
  </si>
  <si>
    <t>Basic Results</t>
  </si>
  <si>
    <t>Detailed Results</t>
  </si>
  <si>
    <t>Corrected LP Flow</t>
  </si>
  <si>
    <t>Corrected HP Flow</t>
  </si>
  <si>
    <t>The "Corrected" low pressure and high pressure flow values are used to plot the operating point of the each turbo on its compressor map.  The calculator uses a density based CFM approach instead of lb/min since the Garrett maps assume the incoming air is at a specific density, which is completely irrelevant with a compound. Notice that changing the LP turbo operating point makes very little difference in the HP turbo's operating point.  That's counterintuitive at first, but look at the changes in CFM and air density.</t>
  </si>
  <si>
    <t>LP Turbo Pressure Ratio</t>
  </si>
  <si>
    <t>HP Turbo Pressure Ratio</t>
  </si>
  <si>
    <t>&lt;= Change based on your altitude</t>
  </si>
  <si>
    <t>&lt;= Diesel Fuel</t>
  </si>
  <si>
    <t>&lt;= Inferred from a Garrett tech document</t>
  </si>
  <si>
    <t>Total Air Flow</t>
  </si>
  <si>
    <t>Outlet Temp Rise</t>
  </si>
  <si>
    <t>HP Turbo Boost</t>
  </si>
  <si>
    <t xml:space="preserve">LP Turbo Boost </t>
  </si>
  <si>
    <t>Misc Results</t>
  </si>
  <si>
    <t>Intercooler Thermal Efficiency</t>
  </si>
  <si>
    <t>Aftercooler Thermal Efficiency</t>
  </si>
  <si>
    <t>Input Data</t>
  </si>
  <si>
    <t>&lt;= This is different because I use Air/Water</t>
  </si>
  <si>
    <t>&lt;= Pressure drop through the air filter, etc (psi)</t>
  </si>
  <si>
    <t>&lt;= Pressure drop across the intercooler and plumbing (psi)</t>
  </si>
  <si>
    <t>&lt;= Pressure drop across the aftercooler and plumbing (psi)</t>
  </si>
  <si>
    <t>BSFC Converter</t>
  </si>
  <si>
    <t>g/kWh</t>
  </si>
  <si>
    <t>lb/HP/hr</t>
  </si>
  <si>
    <t>The OM603 Stock Sheet was made using a "graph" from MB</t>
  </si>
  <si>
    <t>http://www.w124performance.com/images/dyno/87_300D/OM603_factory_dyno_graph.jpg</t>
  </si>
  <si>
    <t>NOTE: See "graph" to the right for source of desired result data…. Input data was "massaged" to match results.  BSFC taken from SAE paper comparing N/A OM606 to OM603. Factory boost range is .85 - .95 bar (12.3 - 13.8 psi).  Data above 4700 RPM is not available</t>
  </si>
</sst>
</file>

<file path=xl/styles.xml><?xml version="1.0" encoding="utf-8"?>
<styleSheet xmlns="http://schemas.openxmlformats.org/spreadsheetml/2006/main">
  <numFmts count="6">
    <numFmt numFmtId="164" formatCode="0.0"/>
    <numFmt numFmtId="165" formatCode="0.0000"/>
    <numFmt numFmtId="166" formatCode="0.0\°\F"/>
    <numFmt numFmtId="167" formatCode="0.0\°\C"/>
    <numFmt numFmtId="168" formatCode="&quot;=&quot;\ 0.0\ &quot;psig&quot;"/>
    <numFmt numFmtId="169" formatCode="0.0&quot; : 1&quot;"/>
  </numFmts>
  <fonts count="10">
    <font>
      <sz val="11"/>
      <color theme="1"/>
      <name val="Calibri"/>
      <family val="2"/>
      <scheme val="minor"/>
    </font>
    <font>
      <sz val="12"/>
      <name val="Courier"/>
      <family val="3"/>
    </font>
    <font>
      <b/>
      <sz val="11"/>
      <color theme="1"/>
      <name val="Calibri"/>
      <family val="2"/>
      <scheme val="minor"/>
    </font>
    <font>
      <b/>
      <u/>
      <sz val="11"/>
      <color theme="1"/>
      <name val="Calibri"/>
      <family val="2"/>
      <scheme val="minor"/>
    </font>
    <font>
      <sz val="11"/>
      <name val="Calibri"/>
      <family val="2"/>
      <scheme val="minor"/>
    </font>
    <font>
      <b/>
      <sz val="14"/>
      <color theme="1"/>
      <name val="Calibri"/>
      <family val="2"/>
      <scheme val="minor"/>
    </font>
    <font>
      <b/>
      <sz val="11"/>
      <name val="Calibri"/>
      <family val="2"/>
      <scheme val="minor"/>
    </font>
    <font>
      <sz val="20"/>
      <color theme="1"/>
      <name val="Calibri"/>
      <family val="2"/>
      <scheme val="minor"/>
    </font>
    <font>
      <b/>
      <sz val="14"/>
      <color theme="0"/>
      <name val="Calibri"/>
      <family val="2"/>
      <scheme val="minor"/>
    </font>
    <font>
      <sz val="10"/>
      <color theme="1"/>
      <name val="Calibri"/>
      <family val="2"/>
      <scheme val="minor"/>
    </font>
  </fonts>
  <fills count="10">
    <fill>
      <patternFill patternType="none"/>
    </fill>
    <fill>
      <patternFill patternType="gray125"/>
    </fill>
    <fill>
      <patternFill patternType="solid">
        <fgColor theme="6" tint="-0.249977111117893"/>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1"/>
        <bgColor indexed="64"/>
      </patternFill>
    </fill>
    <fill>
      <patternFill patternType="solid">
        <fgColor theme="5"/>
        <bgColor indexed="64"/>
      </patternFill>
    </fill>
    <fill>
      <patternFill patternType="solid">
        <fgColor theme="4"/>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right/>
      <top style="thick">
        <color indexed="64"/>
      </top>
      <bottom/>
      <diagonal/>
    </border>
  </borders>
  <cellStyleXfs count="2">
    <xf numFmtId="0" fontId="0" fillId="0" borderId="0"/>
    <xf numFmtId="0" fontId="1" fillId="0" borderId="0"/>
  </cellStyleXfs>
  <cellXfs count="104">
    <xf numFmtId="0" fontId="0" fillId="0" borderId="0" xfId="0"/>
    <xf numFmtId="0" fontId="2" fillId="0" borderId="0" xfId="0" applyFont="1"/>
    <xf numFmtId="0" fontId="0" fillId="0" borderId="0" xfId="0" applyFont="1"/>
    <xf numFmtId="164" fontId="0" fillId="0" borderId="0" xfId="0" applyNumberFormat="1" applyFont="1"/>
    <xf numFmtId="2" fontId="0" fillId="0" borderId="0" xfId="0" applyNumberFormat="1" applyFont="1"/>
    <xf numFmtId="0" fontId="3" fillId="0" borderId="0" xfId="0" applyFont="1"/>
    <xf numFmtId="165" fontId="0" fillId="0" borderId="0" xfId="0" applyNumberFormat="1" applyFont="1"/>
    <xf numFmtId="166" fontId="0" fillId="0" borderId="0" xfId="0" applyNumberFormat="1" applyFont="1"/>
    <xf numFmtId="164" fontId="4" fillId="0" borderId="0" xfId="0" applyNumberFormat="1" applyFont="1"/>
    <xf numFmtId="0" fontId="0" fillId="0" borderId="0" xfId="0" applyFont="1" applyAlignment="1">
      <alignment vertical="center"/>
    </xf>
    <xf numFmtId="0" fontId="0" fillId="0" borderId="0" xfId="0" applyAlignment="1">
      <alignment vertical="center"/>
    </xf>
    <xf numFmtId="168" fontId="0" fillId="0" borderId="0" xfId="0" applyNumberFormat="1" applyFont="1" applyAlignment="1">
      <alignment horizontal="left" vertical="center"/>
    </xf>
    <xf numFmtId="9" fontId="4" fillId="2" borderId="1" xfId="0" applyNumberFormat="1" applyFont="1" applyFill="1" applyBorder="1" applyAlignment="1">
      <alignment horizontal="right" vertical="center"/>
    </xf>
    <xf numFmtId="0" fontId="0" fillId="3" borderId="1" xfId="0" applyFont="1" applyFill="1" applyBorder="1" applyAlignment="1">
      <alignment horizontal="right" vertical="center"/>
    </xf>
    <xf numFmtId="0" fontId="0" fillId="0" borderId="1" xfId="0" applyBorder="1" applyAlignment="1">
      <alignment vertical="center"/>
    </xf>
    <xf numFmtId="2" fontId="0" fillId="0" borderId="1" xfId="0" applyNumberFormat="1" applyFont="1" applyBorder="1" applyAlignment="1">
      <alignment horizontal="center" vertical="center"/>
    </xf>
    <xf numFmtId="166" fontId="4" fillId="0" borderId="1" xfId="0" applyNumberFormat="1" applyFont="1" applyFill="1" applyBorder="1" applyAlignment="1" applyProtection="1">
      <alignment horizontal="center" vertical="center"/>
      <protection locked="0"/>
    </xf>
    <xf numFmtId="167" fontId="0" fillId="0" borderId="0" xfId="0" applyNumberFormat="1" applyFont="1" applyAlignment="1">
      <alignment horizontal="center" vertical="center"/>
    </xf>
    <xf numFmtId="166" fontId="4" fillId="0" borderId="1" xfId="0" applyNumberFormat="1" applyFont="1" applyFill="1" applyBorder="1" applyAlignment="1">
      <alignment horizontal="center" vertical="center"/>
    </xf>
    <xf numFmtId="9" fontId="4" fillId="0" borderId="1" xfId="0" applyNumberFormat="1" applyFont="1" applyFill="1" applyBorder="1" applyAlignment="1">
      <alignment horizontal="center" vertical="center"/>
    </xf>
    <xf numFmtId="2" fontId="4" fillId="0" borderId="1" xfId="0" applyNumberFormat="1" applyFont="1" applyFill="1" applyBorder="1" applyAlignment="1">
      <alignment horizontal="center" vertical="center"/>
    </xf>
    <xf numFmtId="1" fontId="4" fillId="0" borderId="1" xfId="1" applyNumberFormat="1" applyFont="1" applyBorder="1" applyAlignment="1" applyProtection="1">
      <alignment horizontal="center" vertical="center"/>
    </xf>
    <xf numFmtId="0" fontId="0" fillId="0" borderId="1" xfId="0" applyFont="1" applyBorder="1" applyAlignment="1">
      <alignment horizontal="center" vertical="center"/>
    </xf>
    <xf numFmtId="165" fontId="0" fillId="0" borderId="1" xfId="0" applyNumberFormat="1" applyFont="1" applyBorder="1" applyAlignment="1">
      <alignment horizontal="center" vertical="center"/>
    </xf>
    <xf numFmtId="2" fontId="0" fillId="0" borderId="1" xfId="0" applyNumberFormat="1" applyBorder="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5" fillId="0" borderId="0" xfId="0" applyFont="1" applyAlignment="1">
      <alignment horizontal="center"/>
    </xf>
    <xf numFmtId="0" fontId="4" fillId="0" borderId="1" xfId="0" applyFont="1" applyFill="1" applyBorder="1" applyAlignment="1">
      <alignment vertical="center"/>
    </xf>
    <xf numFmtId="0" fontId="4" fillId="0" borderId="1" xfId="0" applyFont="1" applyFill="1" applyBorder="1" applyAlignment="1">
      <alignment horizontal="right" vertical="center"/>
    </xf>
    <xf numFmtId="167" fontId="0" fillId="0" borderId="0" xfId="0" applyNumberFormat="1" applyAlignment="1">
      <alignment horizontal="left" vertical="center"/>
    </xf>
    <xf numFmtId="0" fontId="2" fillId="4" borderId="1" xfId="0" applyFont="1" applyFill="1" applyBorder="1" applyAlignment="1">
      <alignment horizontal="right" vertical="center"/>
    </xf>
    <xf numFmtId="0" fontId="0" fillId="0" borderId="0" xfId="0" applyFont="1" applyAlignment="1">
      <alignment vertical="center" wrapText="1"/>
    </xf>
    <xf numFmtId="0" fontId="2" fillId="0" borderId="0" xfId="0" applyFont="1" applyAlignment="1">
      <alignment vertical="center" wrapText="1"/>
    </xf>
    <xf numFmtId="2" fontId="0" fillId="0" borderId="0" xfId="0" applyNumberFormat="1"/>
    <xf numFmtId="0" fontId="0" fillId="0" borderId="3" xfId="0" applyFill="1" applyBorder="1" applyAlignment="1">
      <alignment vertical="center"/>
    </xf>
    <xf numFmtId="169" fontId="0" fillId="0" borderId="1" xfId="0" applyNumberFormat="1" applyFont="1" applyFill="1" applyBorder="1" applyAlignment="1">
      <alignment horizontal="right" vertical="center"/>
    </xf>
    <xf numFmtId="1" fontId="0" fillId="3" borderId="1" xfId="0" applyNumberFormat="1" applyFont="1" applyFill="1" applyBorder="1" applyAlignment="1">
      <alignment horizontal="center" vertical="center"/>
    </xf>
    <xf numFmtId="0" fontId="7" fillId="0" borderId="0" xfId="0" applyFont="1" applyAlignment="1"/>
    <xf numFmtId="0" fontId="7" fillId="0" borderId="0" xfId="0" applyFont="1" applyAlignment="1">
      <alignment vertical="center"/>
    </xf>
    <xf numFmtId="9" fontId="0" fillId="0" borderId="1" xfId="0" applyNumberFormat="1" applyBorder="1" applyAlignment="1">
      <alignment horizontal="center" vertical="center"/>
    </xf>
    <xf numFmtId="0" fontId="5" fillId="0" borderId="0" xfId="0" applyFont="1" applyAlignment="1">
      <alignment horizontal="center"/>
    </xf>
    <xf numFmtId="0" fontId="2" fillId="0" borderId="0" xfId="0" applyFont="1" applyAlignment="1">
      <alignment horizontal="center" vertical="center" wrapText="1"/>
    </xf>
    <xf numFmtId="0" fontId="2" fillId="0" borderId="0" xfId="0" applyFont="1" applyAlignment="1">
      <alignment horizontal="center" vertical="center" wrapText="1"/>
    </xf>
    <xf numFmtId="0" fontId="6" fillId="6" borderId="1" xfId="0" applyFont="1" applyFill="1" applyBorder="1" applyAlignment="1">
      <alignment horizontal="center" vertical="center"/>
    </xf>
    <xf numFmtId="0" fontId="0" fillId="3" borderId="9" xfId="0" applyFont="1" applyFill="1" applyBorder="1" applyAlignment="1">
      <alignment vertical="center"/>
    </xf>
    <xf numFmtId="1" fontId="0" fillId="3" borderId="11" xfId="0" applyNumberFormat="1" applyFont="1" applyFill="1" applyBorder="1" applyAlignment="1">
      <alignment horizontal="center" vertical="center"/>
    </xf>
    <xf numFmtId="1" fontId="0" fillId="3" borderId="12" xfId="0" applyNumberFormat="1" applyFont="1" applyFill="1" applyBorder="1" applyAlignment="1">
      <alignment vertical="center"/>
    </xf>
    <xf numFmtId="0" fontId="6" fillId="6" borderId="9" xfId="0" applyFont="1" applyFill="1" applyBorder="1" applyAlignment="1">
      <alignment horizontal="center" vertical="center"/>
    </xf>
    <xf numFmtId="0" fontId="2" fillId="4" borderId="9" xfId="0" applyFont="1" applyFill="1" applyBorder="1" applyAlignment="1">
      <alignment horizontal="right" vertical="center"/>
    </xf>
    <xf numFmtId="9" fontId="4" fillId="2" borderId="9" xfId="0" applyNumberFormat="1" applyFont="1" applyFill="1" applyBorder="1" applyAlignment="1">
      <alignment horizontal="right" vertical="center"/>
    </xf>
    <xf numFmtId="0" fontId="0" fillId="3" borderId="9" xfId="0" applyFont="1" applyFill="1" applyBorder="1" applyAlignment="1">
      <alignment horizontal="right" vertical="center"/>
    </xf>
    <xf numFmtId="9" fontId="4" fillId="3" borderId="11" xfId="0" applyNumberFormat="1" applyFont="1" applyFill="1" applyBorder="1" applyAlignment="1">
      <alignment horizontal="right" vertical="center"/>
    </xf>
    <xf numFmtId="9" fontId="4" fillId="3" borderId="12" xfId="0" applyNumberFormat="1" applyFont="1" applyFill="1" applyBorder="1" applyAlignment="1">
      <alignment horizontal="right" vertical="center"/>
    </xf>
    <xf numFmtId="0" fontId="2" fillId="7" borderId="0" xfId="0" applyFont="1" applyFill="1" applyAlignment="1">
      <alignment horizontal="center" vertical="center" wrapText="1"/>
    </xf>
    <xf numFmtId="0" fontId="2" fillId="7" borderId="0" xfId="0" applyFont="1" applyFill="1" applyAlignment="1">
      <alignment vertical="center" wrapText="1"/>
    </xf>
    <xf numFmtId="164" fontId="0" fillId="5" borderId="6" xfId="0" applyNumberFormat="1" applyFont="1" applyFill="1" applyBorder="1" applyAlignment="1">
      <alignment horizontal="center" vertical="center"/>
    </xf>
    <xf numFmtId="0" fontId="0" fillId="5" borderId="7" xfId="0" applyFont="1" applyFill="1" applyBorder="1" applyAlignment="1">
      <alignment vertical="center"/>
    </xf>
    <xf numFmtId="164" fontId="0" fillId="4" borderId="2" xfId="0" applyNumberFormat="1" applyFont="1" applyFill="1" applyBorder="1" applyAlignment="1">
      <alignment horizontal="center" vertical="center"/>
    </xf>
    <xf numFmtId="0" fontId="0" fillId="4" borderId="14" xfId="0" applyFont="1" applyFill="1" applyBorder="1" applyAlignment="1">
      <alignment vertical="center"/>
    </xf>
    <xf numFmtId="164" fontId="0" fillId="4" borderId="1" xfId="0" applyNumberFormat="1" applyFont="1" applyFill="1" applyBorder="1" applyAlignment="1">
      <alignment horizontal="center" vertical="center"/>
    </xf>
    <xf numFmtId="0" fontId="0" fillId="4" borderId="9" xfId="0" applyFont="1" applyFill="1" applyBorder="1" applyAlignment="1">
      <alignment vertical="center"/>
    </xf>
    <xf numFmtId="164" fontId="0" fillId="2" borderId="1" xfId="0" applyNumberFormat="1" applyFont="1" applyFill="1" applyBorder="1" applyAlignment="1">
      <alignment horizontal="center" vertical="center"/>
    </xf>
    <xf numFmtId="0" fontId="0" fillId="2" borderId="9" xfId="0" applyNumberFormat="1" applyFont="1" applyFill="1" applyBorder="1" applyAlignment="1">
      <alignment vertical="center"/>
    </xf>
    <xf numFmtId="1" fontId="5" fillId="9" borderId="4" xfId="0" applyNumberFormat="1" applyFont="1" applyFill="1" applyBorder="1" applyAlignment="1">
      <alignment horizontal="center" vertical="center"/>
    </xf>
    <xf numFmtId="0" fontId="5" fillId="9" borderId="19" xfId="0" applyFont="1" applyFill="1" applyBorder="1" applyAlignment="1">
      <alignment vertical="center"/>
    </xf>
    <xf numFmtId="1" fontId="5" fillId="8" borderId="2" xfId="0" applyNumberFormat="1" applyFont="1" applyFill="1" applyBorder="1" applyAlignment="1">
      <alignment horizontal="center" vertical="center"/>
    </xf>
    <xf numFmtId="0" fontId="5" fillId="8" borderId="14" xfId="0" applyFont="1" applyFill="1" applyBorder="1" applyAlignment="1">
      <alignment vertical="center"/>
    </xf>
    <xf numFmtId="0" fontId="2" fillId="0" borderId="0" xfId="0" applyFont="1" applyAlignment="1">
      <alignment horizontal="center"/>
    </xf>
    <xf numFmtId="0" fontId="0" fillId="5" borderId="5" xfId="0" applyFont="1" applyFill="1" applyBorder="1" applyAlignment="1">
      <alignment horizontal="left" vertical="center" wrapText="1"/>
    </xf>
    <xf numFmtId="0" fontId="0" fillId="5" borderId="6" xfId="0" applyFont="1" applyFill="1" applyBorder="1" applyAlignment="1">
      <alignment horizontal="left" vertical="center" wrapText="1"/>
    </xf>
    <xf numFmtId="0" fontId="8" fillId="7" borderId="20" xfId="0" applyFont="1" applyFill="1" applyBorder="1" applyAlignment="1">
      <alignment horizontal="center" vertical="center"/>
    </xf>
    <xf numFmtId="0" fontId="8" fillId="7" borderId="21" xfId="0" applyFont="1" applyFill="1" applyBorder="1" applyAlignment="1">
      <alignment horizontal="center" vertical="center"/>
    </xf>
    <xf numFmtId="0" fontId="8" fillId="7" borderId="22" xfId="0" applyFont="1" applyFill="1" applyBorder="1" applyAlignment="1">
      <alignment horizontal="center" vertical="center"/>
    </xf>
    <xf numFmtId="0" fontId="5" fillId="0" borderId="0" xfId="0" applyFont="1" applyAlignment="1">
      <alignment horizontal="center"/>
    </xf>
    <xf numFmtId="0" fontId="5" fillId="9" borderId="18" xfId="0" applyFont="1" applyFill="1" applyBorder="1" applyAlignment="1">
      <alignment horizontal="left" vertical="center"/>
    </xf>
    <xf numFmtId="0" fontId="5" fillId="9" borderId="4" xfId="0" applyFont="1" applyFill="1" applyBorder="1" applyAlignment="1">
      <alignment horizontal="left" vertical="center"/>
    </xf>
    <xf numFmtId="0" fontId="0" fillId="4" borderId="13" xfId="0" applyFont="1" applyFill="1" applyBorder="1" applyAlignment="1">
      <alignment horizontal="left" vertical="center"/>
    </xf>
    <xf numFmtId="0" fontId="0" fillId="4" borderId="2" xfId="0" applyFont="1" applyFill="1" applyBorder="1" applyAlignment="1">
      <alignment horizontal="left" vertical="center"/>
    </xf>
    <xf numFmtId="0" fontId="0" fillId="4" borderId="8" xfId="0" applyFont="1" applyFill="1" applyBorder="1" applyAlignment="1">
      <alignment horizontal="left" vertical="center"/>
    </xf>
    <xf numFmtId="0" fontId="0" fillId="4" borderId="1" xfId="0" applyFont="1" applyFill="1" applyBorder="1" applyAlignment="1">
      <alignment horizontal="left" vertical="center"/>
    </xf>
    <xf numFmtId="0" fontId="0" fillId="2" borderId="8" xfId="0" applyNumberFormat="1" applyFont="1" applyFill="1" applyBorder="1" applyAlignment="1">
      <alignment horizontal="left" vertical="center"/>
    </xf>
    <xf numFmtId="0" fontId="0" fillId="2" borderId="1" xfId="0" applyNumberFormat="1" applyFont="1" applyFill="1" applyBorder="1" applyAlignment="1">
      <alignment horizontal="left" vertical="center"/>
    </xf>
    <xf numFmtId="0" fontId="0" fillId="3" borderId="8" xfId="0" applyFont="1" applyFill="1" applyBorder="1" applyAlignment="1">
      <alignment horizontal="left" vertical="center"/>
    </xf>
    <xf numFmtId="0" fontId="0" fillId="3" borderId="1" xfId="0" applyFont="1" applyFill="1" applyBorder="1" applyAlignment="1">
      <alignment horizontal="left" vertical="center"/>
    </xf>
    <xf numFmtId="1" fontId="0" fillId="3" borderId="10" xfId="0" applyNumberFormat="1" applyFont="1" applyFill="1" applyBorder="1" applyAlignment="1">
      <alignment horizontal="left" vertical="center"/>
    </xf>
    <xf numFmtId="1" fontId="0" fillId="3" borderId="11" xfId="0" applyNumberFormat="1" applyFont="1" applyFill="1" applyBorder="1" applyAlignment="1">
      <alignment horizontal="left" vertical="center"/>
    </xf>
    <xf numFmtId="0" fontId="0" fillId="2" borderId="8" xfId="0" applyFill="1" applyBorder="1" applyAlignment="1">
      <alignment horizontal="left" vertical="center"/>
    </xf>
    <xf numFmtId="0" fontId="0" fillId="2" borderId="1" xfId="0" applyFill="1" applyBorder="1" applyAlignment="1">
      <alignment horizontal="left" vertical="center"/>
    </xf>
    <xf numFmtId="0" fontId="0" fillId="3" borderId="8" xfId="0" applyFill="1" applyBorder="1" applyAlignment="1">
      <alignment horizontal="left" vertical="center"/>
    </xf>
    <xf numFmtId="0" fontId="0" fillId="3" borderId="1" xfId="0" applyFill="1" applyBorder="1" applyAlignment="1">
      <alignment horizontal="left" vertical="center"/>
    </xf>
    <xf numFmtId="0" fontId="4" fillId="3" borderId="10" xfId="0" applyFont="1" applyFill="1" applyBorder="1" applyAlignment="1">
      <alignment horizontal="left" vertical="center"/>
    </xf>
    <xf numFmtId="0" fontId="4" fillId="3" borderId="11" xfId="0" applyFont="1" applyFill="1" applyBorder="1" applyAlignment="1">
      <alignment horizontal="left" vertical="center"/>
    </xf>
    <xf numFmtId="0" fontId="5" fillId="8" borderId="13" xfId="0" applyFont="1" applyFill="1" applyBorder="1" applyAlignment="1">
      <alignment horizontal="left" vertical="center"/>
    </xf>
    <xf numFmtId="0" fontId="5" fillId="8" borderId="2" xfId="0" applyFont="1" applyFill="1" applyBorder="1" applyAlignment="1">
      <alignment horizontal="left" vertical="center"/>
    </xf>
    <xf numFmtId="0" fontId="9" fillId="0" borderId="23" xfId="0" applyFont="1" applyBorder="1" applyAlignment="1">
      <alignment horizontal="left" wrapText="1"/>
    </xf>
    <xf numFmtId="0" fontId="8" fillId="7" borderId="15" xfId="0" applyFont="1" applyFill="1" applyBorder="1" applyAlignment="1">
      <alignment horizontal="center" vertical="center"/>
    </xf>
    <xf numFmtId="0" fontId="8" fillId="7" borderId="16" xfId="0" applyFont="1" applyFill="1" applyBorder="1" applyAlignment="1">
      <alignment horizontal="center" vertical="center"/>
    </xf>
    <xf numFmtId="0" fontId="8" fillId="7" borderId="17" xfId="0" applyFont="1" applyFill="1" applyBorder="1" applyAlignment="1">
      <alignment horizontal="center" vertical="center"/>
    </xf>
    <xf numFmtId="0" fontId="2" fillId="0" borderId="0" xfId="0" applyFont="1" applyAlignment="1">
      <alignment horizontal="center" vertical="center" wrapText="1"/>
    </xf>
    <xf numFmtId="0" fontId="6" fillId="6" borderId="8" xfId="0" applyFont="1" applyFill="1" applyBorder="1" applyAlignment="1">
      <alignment horizontal="left" vertical="center"/>
    </xf>
    <xf numFmtId="0" fontId="6" fillId="6" borderId="1" xfId="0" applyFont="1" applyFill="1" applyBorder="1" applyAlignment="1">
      <alignment horizontal="left" vertical="center"/>
    </xf>
    <xf numFmtId="0" fontId="2" fillId="4" borderId="8" xfId="0" applyFont="1" applyFill="1" applyBorder="1" applyAlignment="1">
      <alignment horizontal="left" vertical="center"/>
    </xf>
    <xf numFmtId="0" fontId="2" fillId="4" borderId="1" xfId="0" applyFont="1" applyFill="1" applyBorder="1" applyAlignment="1">
      <alignment horizontal="left" vertical="center"/>
    </xf>
  </cellXfs>
  <cellStyles count="2">
    <cellStyle name="Normal" xfId="0" builtinId="0"/>
    <cellStyle name="Normal_turbo flow"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image" Target="../media/image1.png"/></Relationships>
</file>

<file path=xl/charts/_rels/chart10.xml.rels><?xml version="1.0" encoding="UTF-8" standalone="yes"?>
<Relationships xmlns="http://schemas.openxmlformats.org/package/2006/relationships"><Relationship Id="rId1" Type="http://schemas.openxmlformats.org/officeDocument/2006/relationships/image" Target="../media/image2.jpeg"/></Relationships>
</file>

<file path=xl/charts/_rels/chart11.xml.rels><?xml version="1.0" encoding="UTF-8" standalone="yes"?>
<Relationships xmlns="http://schemas.openxmlformats.org/package/2006/relationships"><Relationship Id="rId1" Type="http://schemas.openxmlformats.org/officeDocument/2006/relationships/image" Target="../media/image3.png"/></Relationships>
</file>

<file path=xl/charts/_rels/chart12.xml.rels><?xml version="1.0" encoding="UTF-8" standalone="yes"?>
<Relationships xmlns="http://schemas.openxmlformats.org/package/2006/relationships"><Relationship Id="rId1" Type="http://schemas.openxmlformats.org/officeDocument/2006/relationships/image" Target="../media/image4.jpeg"/></Relationships>
</file>

<file path=xl/charts/_rels/chart13.xml.rels><?xml version="1.0" encoding="UTF-8" standalone="yes"?>
<Relationships xmlns="http://schemas.openxmlformats.org/package/2006/relationships"><Relationship Id="rId1" Type="http://schemas.openxmlformats.org/officeDocument/2006/relationships/image" Target="../media/image5.jpeg"/></Relationships>
</file>

<file path=xl/charts/_rels/chart14.xml.rels><?xml version="1.0" encoding="UTF-8" standalone="yes"?>
<Relationships xmlns="http://schemas.openxmlformats.org/package/2006/relationships"><Relationship Id="rId1" Type="http://schemas.openxmlformats.org/officeDocument/2006/relationships/image" Target="../media/image6.jpeg"/></Relationships>
</file>

<file path=xl/charts/_rels/chart17.xml.rels><?xml version="1.0" encoding="UTF-8" standalone="yes"?>
<Relationships xmlns="http://schemas.openxmlformats.org/package/2006/relationships"><Relationship Id="rId1" Type="http://schemas.openxmlformats.org/officeDocument/2006/relationships/image" Target="../media/image1.png"/></Relationships>
</file>

<file path=xl/charts/_rels/chart18.xml.rels><?xml version="1.0" encoding="UTF-8" standalone="yes"?>
<Relationships xmlns="http://schemas.openxmlformats.org/package/2006/relationships"><Relationship Id="rId1" Type="http://schemas.openxmlformats.org/officeDocument/2006/relationships/image" Target="../media/image2.jpeg"/></Relationships>
</file>

<file path=xl/charts/_rels/chart19.xml.rels><?xml version="1.0" encoding="UTF-8" standalone="yes"?>
<Relationships xmlns="http://schemas.openxmlformats.org/package/2006/relationships"><Relationship Id="rId1" Type="http://schemas.openxmlformats.org/officeDocument/2006/relationships/image" Target="../media/image3.png"/></Relationships>
</file>

<file path=xl/charts/_rels/chart2.xml.rels><?xml version="1.0" encoding="UTF-8" standalone="yes"?>
<Relationships xmlns="http://schemas.openxmlformats.org/package/2006/relationships"><Relationship Id="rId1" Type="http://schemas.openxmlformats.org/officeDocument/2006/relationships/image" Target="../media/image2.jpeg"/></Relationships>
</file>

<file path=xl/charts/_rels/chart20.xml.rels><?xml version="1.0" encoding="UTF-8" standalone="yes"?>
<Relationships xmlns="http://schemas.openxmlformats.org/package/2006/relationships"><Relationship Id="rId1" Type="http://schemas.openxmlformats.org/officeDocument/2006/relationships/image" Target="../media/image4.jpeg"/></Relationships>
</file>

<file path=xl/charts/_rels/chart21.xml.rels><?xml version="1.0" encoding="UTF-8" standalone="yes"?>
<Relationships xmlns="http://schemas.openxmlformats.org/package/2006/relationships"><Relationship Id="rId1" Type="http://schemas.openxmlformats.org/officeDocument/2006/relationships/image" Target="../media/image5.jpeg"/></Relationships>
</file>

<file path=xl/charts/_rels/chart22.xml.rels><?xml version="1.0" encoding="UTF-8" standalone="yes"?>
<Relationships xmlns="http://schemas.openxmlformats.org/package/2006/relationships"><Relationship Id="rId1" Type="http://schemas.openxmlformats.org/officeDocument/2006/relationships/image" Target="../media/image6.jpeg"/></Relationships>
</file>

<file path=xl/charts/_rels/chart3.xml.rels><?xml version="1.0" encoding="UTF-8" standalone="yes"?>
<Relationships xmlns="http://schemas.openxmlformats.org/package/2006/relationships"><Relationship Id="rId1" Type="http://schemas.openxmlformats.org/officeDocument/2006/relationships/image" Target="../media/image3.png"/></Relationships>
</file>

<file path=xl/charts/_rels/chart4.xml.rels><?xml version="1.0" encoding="UTF-8" standalone="yes"?>
<Relationships xmlns="http://schemas.openxmlformats.org/package/2006/relationships"><Relationship Id="rId1" Type="http://schemas.openxmlformats.org/officeDocument/2006/relationships/image" Target="../media/image4.jpeg"/></Relationships>
</file>

<file path=xl/charts/_rels/chart5.xml.rels><?xml version="1.0" encoding="UTF-8" standalone="yes"?>
<Relationships xmlns="http://schemas.openxmlformats.org/package/2006/relationships"><Relationship Id="rId1" Type="http://schemas.openxmlformats.org/officeDocument/2006/relationships/image" Target="../media/image5.jpeg"/></Relationships>
</file>

<file path=xl/charts/_rels/chart6.xml.rels><?xml version="1.0" encoding="UTF-8" standalone="yes"?>
<Relationships xmlns="http://schemas.openxmlformats.org/package/2006/relationships"><Relationship Id="rId1" Type="http://schemas.openxmlformats.org/officeDocument/2006/relationships/image" Target="../media/image6.jpeg"/></Relationships>
</file>

<file path=xl/charts/_rels/chart9.xml.rels><?xml version="1.0" encoding="UTF-8" standalone="yes"?>
<Relationships xmlns="http://schemas.openxmlformats.org/package/2006/relationships"><Relationship Id="rId1" Type="http://schemas.openxmlformats.org/officeDocument/2006/relationships/image" Target="../media/image1.png"/></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8314898650200856"/>
          <c:y val="6.4379745898315577E-2"/>
          <c:w val="0.76433647428137363"/>
          <c:h val="0.75003133786168963"/>
        </c:manualLayout>
      </c:layout>
      <c:scatterChart>
        <c:scatterStyle val="lineMarker"/>
        <c:ser>
          <c:idx val="0"/>
          <c:order val="0"/>
          <c:spPr>
            <a:ln w="28575">
              <a:noFill/>
            </a:ln>
          </c:spPr>
          <c:marker>
            <c:symbol val="diamond"/>
            <c:size val="10"/>
            <c:spPr>
              <a:solidFill>
                <a:srgbClr val="F79646"/>
              </a:solidFill>
            </c:spPr>
          </c:marker>
          <c:xVal>
            <c:numRef>
              <c:f>'OM603 Stock'!$D$22:$I$22</c:f>
              <c:numCache>
                <c:formatCode>0.0</c:formatCode>
                <c:ptCount val="6"/>
                <c:pt idx="0">
                  <c:v>9.9771252135925099</c:v>
                </c:pt>
                <c:pt idx="1">
                  <c:v>12.891725741292444</c:v>
                </c:pt>
                <c:pt idx="2">
                  <c:v>16.114657176615555</c:v>
                </c:pt>
                <c:pt idx="3">
                  <c:v>19.576324273814446</c:v>
                </c:pt>
                <c:pt idx="4">
                  <c:v>21.599609008211736</c:v>
                </c:pt>
                <c:pt idx="5">
                  <c:v>21.933838934837834</c:v>
                </c:pt>
              </c:numCache>
            </c:numRef>
          </c:xVal>
          <c:yVal>
            <c:numRef>
              <c:f>'OM603 Stock'!$E$8:$J$8</c:f>
              <c:numCache>
                <c:formatCode>General</c:formatCode>
                <c:ptCount val="6"/>
                <c:pt idx="0">
                  <c:v>1.7</c:v>
                </c:pt>
                <c:pt idx="1">
                  <c:v>1.92</c:v>
                </c:pt>
                <c:pt idx="2">
                  <c:v>1.92</c:v>
                </c:pt>
                <c:pt idx="3">
                  <c:v>1.92</c:v>
                </c:pt>
                <c:pt idx="4">
                  <c:v>1.92</c:v>
                </c:pt>
                <c:pt idx="5">
                  <c:v>1.92</c:v>
                </c:pt>
              </c:numCache>
            </c:numRef>
          </c:yVal>
        </c:ser>
        <c:axId val="62722048"/>
        <c:axId val="62723968"/>
      </c:scatterChart>
      <c:valAx>
        <c:axId val="62722048"/>
        <c:scaling>
          <c:orientation val="minMax"/>
          <c:max val="35"/>
          <c:min val="0"/>
        </c:scaling>
        <c:axPos val="b"/>
        <c:numFmt formatCode="0.0" sourceLinked="1"/>
        <c:tickLblPos val="none"/>
        <c:crossAx val="62723968"/>
        <c:crosses val="autoZero"/>
        <c:crossBetween val="midCat"/>
      </c:valAx>
      <c:valAx>
        <c:axId val="62723968"/>
        <c:scaling>
          <c:orientation val="minMax"/>
          <c:max val="3.2"/>
          <c:min val="1"/>
        </c:scaling>
        <c:axPos val="l"/>
        <c:majorGridlines/>
        <c:numFmt formatCode="General" sourceLinked="1"/>
        <c:tickLblPos val="none"/>
        <c:crossAx val="62722048"/>
        <c:crosses val="autoZero"/>
        <c:crossBetween val="midCat"/>
      </c:valAx>
      <c:spPr>
        <a:noFill/>
        <a:ln w="25400">
          <a:noFill/>
        </a:ln>
      </c:spPr>
    </c:plotArea>
    <c:plotVisOnly val="1"/>
    <c:dispBlanksAs val="gap"/>
  </c:chart>
  <c:spPr>
    <a:blipFill dpi="0" rotWithShape="1">
      <a:blip xmlns:r="http://schemas.openxmlformats.org/officeDocument/2006/relationships" r:embed="rId1"/>
      <a:srcRect/>
      <a:stretch>
        <a:fillRect t="5000" r="3000"/>
      </a:stretch>
    </a:blipFill>
  </c:spPr>
  <c:printSettings>
    <c:headerFooter/>
    <c:pageMargins b="0.75000000000000122" l="0.70000000000000062" r="0.70000000000000062" t="0.7500000000000012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9.7507023136896229E-2"/>
          <c:y val="7.4167979683683924E-2"/>
          <c:w val="0.8296058936843862"/>
          <c:h val="0.82891874203351068"/>
        </c:manualLayout>
      </c:layout>
      <c:scatterChart>
        <c:scatterStyle val="lineMarker"/>
        <c:ser>
          <c:idx val="0"/>
          <c:order val="0"/>
          <c:spPr>
            <a:ln w="28575">
              <a:noFill/>
            </a:ln>
          </c:spPr>
          <c:marker>
            <c:symbol val="diamond"/>
            <c:size val="10"/>
            <c:spPr>
              <a:solidFill>
                <a:srgbClr val="00FF00"/>
              </a:solidFill>
            </c:spPr>
          </c:marker>
          <c:xVal>
            <c:numRef>
              <c:f>'OM603 Aftercooled'!$D$21:$H$21</c:f>
              <c:numCache>
                <c:formatCode>0.0</c:formatCode>
                <c:ptCount val="5"/>
                <c:pt idx="0">
                  <c:v>11.193001528719252</c:v>
                </c:pt>
                <c:pt idx="1">
                  <c:v>14.904818691983614</c:v>
                </c:pt>
                <c:pt idx="2">
                  <c:v>18.631023364979519</c:v>
                </c:pt>
                <c:pt idx="3">
                  <c:v>22.633243198938082</c:v>
                </c:pt>
                <c:pt idx="4">
                  <c:v>24.972471688096622</c:v>
                </c:pt>
              </c:numCache>
            </c:numRef>
          </c:xVal>
          <c:yVal>
            <c:numRef>
              <c:f>'OM603 Aftercooled'!$E$7:$I$7</c:f>
              <c:numCache>
                <c:formatCode>General</c:formatCode>
                <c:ptCount val="5"/>
                <c:pt idx="0">
                  <c:v>1</c:v>
                </c:pt>
                <c:pt idx="1">
                  <c:v>1</c:v>
                </c:pt>
                <c:pt idx="2">
                  <c:v>1</c:v>
                </c:pt>
                <c:pt idx="3">
                  <c:v>1</c:v>
                </c:pt>
                <c:pt idx="4">
                  <c:v>1</c:v>
                </c:pt>
              </c:numCache>
            </c:numRef>
          </c:yVal>
        </c:ser>
        <c:axId val="63435520"/>
        <c:axId val="63437440"/>
      </c:scatterChart>
      <c:valAx>
        <c:axId val="63435520"/>
        <c:scaling>
          <c:orientation val="minMax"/>
          <c:max val="80"/>
          <c:min val="0"/>
        </c:scaling>
        <c:axPos val="b"/>
        <c:numFmt formatCode="0.0" sourceLinked="1"/>
        <c:tickLblPos val="none"/>
        <c:crossAx val="63437440"/>
        <c:crosses val="autoZero"/>
        <c:crossBetween val="midCat"/>
      </c:valAx>
      <c:valAx>
        <c:axId val="63437440"/>
        <c:scaling>
          <c:orientation val="minMax"/>
          <c:max val="4.5"/>
          <c:min val="1"/>
        </c:scaling>
        <c:axPos val="l"/>
        <c:majorGridlines/>
        <c:numFmt formatCode="General" sourceLinked="1"/>
        <c:tickLblPos val="none"/>
        <c:spPr>
          <a:noFill/>
        </c:spPr>
        <c:crossAx val="63435520"/>
        <c:crosses val="autoZero"/>
        <c:crossBetween val="midCat"/>
      </c:valAx>
      <c:spPr>
        <a:noFill/>
        <a:ln w="25400">
          <a:noFill/>
        </a:ln>
      </c:spPr>
    </c:plotArea>
    <c:plotVisOnly val="1"/>
    <c:dispBlanksAs val="gap"/>
  </c:chart>
  <c:spPr>
    <a:blipFill dpi="0" rotWithShape="1">
      <a:blip xmlns:r="http://schemas.openxmlformats.org/officeDocument/2006/relationships" r:embed="rId1"/>
      <a:srcRect/>
      <a:stretch>
        <a:fillRect b="2000"/>
      </a:stretch>
    </a:blipFill>
  </c:spPr>
  <c:printSettings>
    <c:headerFooter/>
    <c:pageMargins b="0.750000000000001" l="0.70000000000000062" r="0.70000000000000062" t="0.75000000000000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6955163947935642"/>
          <c:y val="1.6186956629530822E-2"/>
          <c:w val="0.80851568202298418"/>
          <c:h val="0.76936952239464362"/>
        </c:manualLayout>
      </c:layout>
      <c:scatterChart>
        <c:scatterStyle val="lineMarker"/>
        <c:ser>
          <c:idx val="0"/>
          <c:order val="0"/>
          <c:spPr>
            <a:ln w="28575">
              <a:noFill/>
            </a:ln>
          </c:spPr>
          <c:marker>
            <c:symbol val="diamond"/>
            <c:size val="10"/>
            <c:spPr>
              <a:solidFill>
                <a:srgbClr val="F79646"/>
              </a:solidFill>
            </c:spPr>
          </c:marker>
          <c:xVal>
            <c:numRef>
              <c:f>'OM603 Aftercooled'!$D$22:$I$22</c:f>
              <c:numCache>
                <c:formatCode>0.0</c:formatCode>
                <c:ptCount val="6"/>
                <c:pt idx="0">
                  <c:v>11.390200287153347</c:v>
                </c:pt>
                <c:pt idx="1">
                  <c:v>15.167412396916376</c:v>
                </c:pt>
                <c:pt idx="2">
                  <c:v>18.959265496145473</c:v>
                </c:pt>
                <c:pt idx="3">
                  <c:v>23.031996602724867</c:v>
                </c:pt>
                <c:pt idx="4">
                  <c:v>25.41243771501869</c:v>
                </c:pt>
                <c:pt idx="5">
                  <c:v>25.805666925309112</c:v>
                </c:pt>
              </c:numCache>
            </c:numRef>
          </c:xVal>
          <c:yVal>
            <c:numRef>
              <c:f>'OM603 Aftercooled'!$E$8:$J$8</c:f>
              <c:numCache>
                <c:formatCode>General</c:formatCode>
                <c:ptCount val="6"/>
                <c:pt idx="0">
                  <c:v>1.7</c:v>
                </c:pt>
                <c:pt idx="1">
                  <c:v>1.92</c:v>
                </c:pt>
                <c:pt idx="2">
                  <c:v>1.92</c:v>
                </c:pt>
                <c:pt idx="3">
                  <c:v>1.92</c:v>
                </c:pt>
                <c:pt idx="4">
                  <c:v>1.92</c:v>
                </c:pt>
                <c:pt idx="5">
                  <c:v>1.92</c:v>
                </c:pt>
              </c:numCache>
            </c:numRef>
          </c:yVal>
        </c:ser>
        <c:axId val="63579264"/>
        <c:axId val="63581184"/>
      </c:scatterChart>
      <c:valAx>
        <c:axId val="63579264"/>
        <c:scaling>
          <c:orientation val="minMax"/>
          <c:max val="40"/>
          <c:min val="0"/>
        </c:scaling>
        <c:axPos val="b"/>
        <c:numFmt formatCode="0.0" sourceLinked="1"/>
        <c:tickLblPos val="none"/>
        <c:crossAx val="63581184"/>
        <c:crosses val="autoZero"/>
        <c:crossBetween val="midCat"/>
      </c:valAx>
      <c:valAx>
        <c:axId val="63581184"/>
        <c:scaling>
          <c:orientation val="minMax"/>
          <c:max val="3.2"/>
          <c:min val="1"/>
        </c:scaling>
        <c:axPos val="l"/>
        <c:majorGridlines/>
        <c:numFmt formatCode="General" sourceLinked="1"/>
        <c:tickLblPos val="none"/>
        <c:crossAx val="63579264"/>
        <c:crosses val="autoZero"/>
        <c:crossBetween val="midCat"/>
      </c:valAx>
      <c:spPr>
        <a:noFill/>
        <a:ln w="25400">
          <a:noFill/>
        </a:ln>
      </c:spPr>
    </c:plotArea>
    <c:plotVisOnly val="1"/>
    <c:dispBlanksAs val="gap"/>
  </c:chart>
  <c:spPr>
    <a:blipFill dpi="0" rotWithShape="1">
      <a:blip xmlns:r="http://schemas.openxmlformats.org/officeDocument/2006/relationships" r:embed="rId1"/>
      <a:srcRect/>
      <a:stretch>
        <a:fillRect/>
      </a:stretch>
    </a:blipFill>
  </c:spPr>
  <c:printSettings>
    <c:headerFooter/>
    <c:pageMargins b="0.75000000000000167" l="0.70000000000000062" r="0.70000000000000062" t="0.75000000000000167"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6955163947935642"/>
          <c:y val="1.8584059468231745E-2"/>
          <c:w val="0.80851568202298418"/>
          <c:h val="0.77499624269934031"/>
        </c:manualLayout>
      </c:layout>
      <c:scatterChart>
        <c:scatterStyle val="lineMarker"/>
        <c:ser>
          <c:idx val="0"/>
          <c:order val="0"/>
          <c:spPr>
            <a:ln w="28575">
              <a:noFill/>
            </a:ln>
          </c:spPr>
          <c:marker>
            <c:symbol val="diamond"/>
            <c:size val="10"/>
            <c:spPr>
              <a:solidFill>
                <a:schemeClr val="accent6"/>
              </a:solidFill>
            </c:spPr>
          </c:marker>
          <c:xVal>
            <c:numRef>
              <c:f>'OM603 Aftercooled'!$D$22:$I$22</c:f>
              <c:numCache>
                <c:formatCode>0.0</c:formatCode>
                <c:ptCount val="6"/>
                <c:pt idx="0">
                  <c:v>11.390200287153347</c:v>
                </c:pt>
                <c:pt idx="1">
                  <c:v>15.167412396916376</c:v>
                </c:pt>
                <c:pt idx="2">
                  <c:v>18.959265496145473</c:v>
                </c:pt>
                <c:pt idx="3">
                  <c:v>23.031996602724867</c:v>
                </c:pt>
                <c:pt idx="4">
                  <c:v>25.41243771501869</c:v>
                </c:pt>
                <c:pt idx="5">
                  <c:v>25.805666925309112</c:v>
                </c:pt>
              </c:numCache>
            </c:numRef>
          </c:xVal>
          <c:yVal>
            <c:numRef>
              <c:f>'OM603 Aftercooled'!$E$8:$J$8</c:f>
              <c:numCache>
                <c:formatCode>General</c:formatCode>
                <c:ptCount val="6"/>
                <c:pt idx="0">
                  <c:v>1.7</c:v>
                </c:pt>
                <c:pt idx="1">
                  <c:v>1.92</c:v>
                </c:pt>
                <c:pt idx="2">
                  <c:v>1.92</c:v>
                </c:pt>
                <c:pt idx="3">
                  <c:v>1.92</c:v>
                </c:pt>
                <c:pt idx="4">
                  <c:v>1.92</c:v>
                </c:pt>
                <c:pt idx="5">
                  <c:v>1.92</c:v>
                </c:pt>
              </c:numCache>
            </c:numRef>
          </c:yVal>
        </c:ser>
        <c:axId val="63616512"/>
        <c:axId val="63618432"/>
      </c:scatterChart>
      <c:valAx>
        <c:axId val="63616512"/>
        <c:scaling>
          <c:orientation val="minMax"/>
          <c:max val="40"/>
          <c:min val="0"/>
        </c:scaling>
        <c:axPos val="b"/>
        <c:numFmt formatCode="0.0" sourceLinked="1"/>
        <c:tickLblPos val="none"/>
        <c:crossAx val="63618432"/>
        <c:crosses val="autoZero"/>
        <c:crossBetween val="midCat"/>
      </c:valAx>
      <c:valAx>
        <c:axId val="63618432"/>
        <c:scaling>
          <c:orientation val="minMax"/>
          <c:max val="3"/>
          <c:min val="1"/>
        </c:scaling>
        <c:axPos val="l"/>
        <c:majorGridlines/>
        <c:numFmt formatCode="General" sourceLinked="1"/>
        <c:tickLblPos val="none"/>
        <c:crossAx val="63616512"/>
        <c:crosses val="autoZero"/>
        <c:crossBetween val="midCat"/>
      </c:valAx>
      <c:spPr>
        <a:noFill/>
        <a:ln w="25400">
          <a:noFill/>
        </a:ln>
      </c:spPr>
    </c:plotArea>
    <c:plotVisOnly val="1"/>
    <c:dispBlanksAs val="gap"/>
  </c:chart>
  <c:spPr>
    <a:blipFill dpi="0" rotWithShape="1">
      <a:blip xmlns:r="http://schemas.openxmlformats.org/officeDocument/2006/relationships" r:embed="rId1"/>
      <a:srcRect/>
      <a:stretch>
        <a:fillRect/>
      </a:stretch>
    </a:blipFill>
  </c:spPr>
  <c:printSettings>
    <c:headerFooter/>
    <c:pageMargins b="0.75000000000000189" l="0.70000000000000062" r="0.70000000000000062" t="0.75000000000000189"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7642649666649554"/>
          <c:y val="0.17106438136199886"/>
          <c:w val="0.73334009192584571"/>
          <c:h val="0.73069674096656045"/>
        </c:manualLayout>
      </c:layout>
      <c:scatterChart>
        <c:scatterStyle val="lineMarker"/>
        <c:ser>
          <c:idx val="0"/>
          <c:order val="0"/>
          <c:spPr>
            <a:ln w="28575">
              <a:noFill/>
            </a:ln>
          </c:spPr>
          <c:marker>
            <c:symbol val="diamond"/>
            <c:size val="10"/>
            <c:spPr>
              <a:solidFill>
                <a:srgbClr val="F79646"/>
              </a:solidFill>
            </c:spPr>
          </c:marker>
          <c:xVal>
            <c:numRef>
              <c:f>'OM603 Aftercooled'!$D$22:$I$22</c:f>
              <c:numCache>
                <c:formatCode>0.0</c:formatCode>
                <c:ptCount val="6"/>
                <c:pt idx="0">
                  <c:v>11.390200287153347</c:v>
                </c:pt>
                <c:pt idx="1">
                  <c:v>15.167412396916376</c:v>
                </c:pt>
                <c:pt idx="2">
                  <c:v>18.959265496145473</c:v>
                </c:pt>
                <c:pt idx="3">
                  <c:v>23.031996602724867</c:v>
                </c:pt>
                <c:pt idx="4">
                  <c:v>25.41243771501869</c:v>
                </c:pt>
                <c:pt idx="5">
                  <c:v>25.805666925309112</c:v>
                </c:pt>
              </c:numCache>
            </c:numRef>
          </c:xVal>
          <c:yVal>
            <c:numRef>
              <c:f>'OM603 Aftercooled'!$E$8:$J$8</c:f>
              <c:numCache>
                <c:formatCode>General</c:formatCode>
                <c:ptCount val="6"/>
                <c:pt idx="0">
                  <c:v>1.7</c:v>
                </c:pt>
                <c:pt idx="1">
                  <c:v>1.92</c:v>
                </c:pt>
                <c:pt idx="2">
                  <c:v>1.92</c:v>
                </c:pt>
                <c:pt idx="3">
                  <c:v>1.92</c:v>
                </c:pt>
                <c:pt idx="4">
                  <c:v>1.92</c:v>
                </c:pt>
                <c:pt idx="5">
                  <c:v>1.92</c:v>
                </c:pt>
              </c:numCache>
            </c:numRef>
          </c:yVal>
        </c:ser>
        <c:axId val="63629184"/>
        <c:axId val="63660032"/>
      </c:scatterChart>
      <c:valAx>
        <c:axId val="63629184"/>
        <c:scaling>
          <c:orientation val="minMax"/>
          <c:max val="35"/>
          <c:min val="0"/>
        </c:scaling>
        <c:axPos val="b"/>
        <c:numFmt formatCode="0.0" sourceLinked="1"/>
        <c:tickLblPos val="none"/>
        <c:crossAx val="63660032"/>
        <c:crosses val="autoZero"/>
        <c:crossBetween val="midCat"/>
      </c:valAx>
      <c:valAx>
        <c:axId val="63660032"/>
        <c:scaling>
          <c:orientation val="minMax"/>
          <c:max val="3.2"/>
          <c:min val="1"/>
        </c:scaling>
        <c:axPos val="l"/>
        <c:majorGridlines/>
        <c:numFmt formatCode="General" sourceLinked="1"/>
        <c:tickLblPos val="none"/>
        <c:crossAx val="63629184"/>
        <c:crosses val="autoZero"/>
        <c:crossBetween val="midCat"/>
      </c:valAx>
      <c:spPr>
        <a:noFill/>
        <a:ln w="25400">
          <a:noFill/>
        </a:ln>
      </c:spPr>
    </c:plotArea>
    <c:plotVisOnly val="1"/>
    <c:dispBlanksAs val="gap"/>
  </c:chart>
  <c:spPr>
    <a:blipFill dpi="0" rotWithShape="1">
      <a:blip xmlns:r="http://schemas.openxmlformats.org/officeDocument/2006/relationships" r:embed="rId1"/>
      <a:srcRect/>
      <a:stretch>
        <a:fillRect/>
      </a:stretch>
    </a:blipFill>
  </c:spPr>
  <c:printSettings>
    <c:headerFooter/>
    <c:pageMargins b="0.75000000000000189" l="0.70000000000000062" r="0.70000000000000062" t="0.75000000000000189"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9.7988945484202797E-2"/>
          <c:y val="7.6800228356141129E-2"/>
          <c:w val="0.83219832856220655"/>
          <c:h val="0.84436814440267949"/>
        </c:manualLayout>
      </c:layout>
      <c:scatterChart>
        <c:scatterStyle val="lineMarker"/>
        <c:ser>
          <c:idx val="0"/>
          <c:order val="0"/>
          <c:spPr>
            <a:ln w="28575">
              <a:noFill/>
            </a:ln>
          </c:spPr>
          <c:marker>
            <c:symbol val="diamond"/>
            <c:size val="10"/>
            <c:spPr>
              <a:solidFill>
                <a:srgbClr val="F79646"/>
              </a:solidFill>
            </c:spPr>
          </c:marker>
          <c:xVal>
            <c:numRef>
              <c:f>'OM603 Aftercooled'!$D$22:$I$22</c:f>
              <c:numCache>
                <c:formatCode>0.0</c:formatCode>
                <c:ptCount val="6"/>
                <c:pt idx="0">
                  <c:v>11.390200287153347</c:v>
                </c:pt>
                <c:pt idx="1">
                  <c:v>15.167412396916376</c:v>
                </c:pt>
                <c:pt idx="2">
                  <c:v>18.959265496145473</c:v>
                </c:pt>
                <c:pt idx="3">
                  <c:v>23.031996602724867</c:v>
                </c:pt>
                <c:pt idx="4">
                  <c:v>25.41243771501869</c:v>
                </c:pt>
                <c:pt idx="5">
                  <c:v>25.805666925309112</c:v>
                </c:pt>
              </c:numCache>
            </c:numRef>
          </c:xVal>
          <c:yVal>
            <c:numRef>
              <c:f>'OM603 Aftercooled'!$E$8:$J$8</c:f>
              <c:numCache>
                <c:formatCode>General</c:formatCode>
                <c:ptCount val="6"/>
                <c:pt idx="0">
                  <c:v>1.7</c:v>
                </c:pt>
                <c:pt idx="1">
                  <c:v>1.92</c:v>
                </c:pt>
                <c:pt idx="2">
                  <c:v>1.92</c:v>
                </c:pt>
                <c:pt idx="3">
                  <c:v>1.92</c:v>
                </c:pt>
                <c:pt idx="4">
                  <c:v>1.92</c:v>
                </c:pt>
                <c:pt idx="5">
                  <c:v>1.92</c:v>
                </c:pt>
              </c:numCache>
            </c:numRef>
          </c:yVal>
        </c:ser>
        <c:axId val="63670528"/>
        <c:axId val="63676800"/>
      </c:scatterChart>
      <c:valAx>
        <c:axId val="63670528"/>
        <c:scaling>
          <c:orientation val="minMax"/>
          <c:max val="40"/>
          <c:min val="0"/>
        </c:scaling>
        <c:axPos val="b"/>
        <c:numFmt formatCode="0.0" sourceLinked="1"/>
        <c:tickLblPos val="none"/>
        <c:crossAx val="63676800"/>
        <c:crosses val="autoZero"/>
        <c:crossBetween val="midCat"/>
      </c:valAx>
      <c:valAx>
        <c:axId val="63676800"/>
        <c:scaling>
          <c:orientation val="minMax"/>
          <c:max val="4"/>
          <c:min val="1"/>
        </c:scaling>
        <c:axPos val="l"/>
        <c:majorGridlines/>
        <c:numFmt formatCode="General" sourceLinked="1"/>
        <c:tickLblPos val="none"/>
        <c:crossAx val="63670528"/>
        <c:crosses val="autoZero"/>
        <c:crossBetween val="midCat"/>
      </c:valAx>
      <c:spPr>
        <a:noFill/>
        <a:ln w="25400">
          <a:noFill/>
        </a:ln>
      </c:spPr>
    </c:plotArea>
    <c:plotVisOnly val="1"/>
    <c:dispBlanksAs val="gap"/>
  </c:chart>
  <c:spPr>
    <a:blipFill dpi="0" rotWithShape="1">
      <a:blip xmlns:r="http://schemas.openxmlformats.org/officeDocument/2006/relationships" r:embed="rId1"/>
      <a:srcRect/>
      <a:stretch>
        <a:fillRect/>
      </a:stretch>
    </a:blipFill>
  </c:spPr>
  <c:printSettings>
    <c:headerFooter/>
    <c:pageMargins b="0.75000000000000211" l="0.70000000000000062" r="0.70000000000000062" t="0.75000000000000211"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HP and Torque</a:t>
            </a:r>
          </a:p>
        </c:rich>
      </c:tx>
      <c:layout>
        <c:manualLayout>
          <c:xMode val="edge"/>
          <c:yMode val="edge"/>
          <c:x val="0.38088209166162018"/>
          <c:y val="1.491242962659408E-2"/>
        </c:manualLayout>
      </c:layout>
      <c:spPr>
        <a:noFill/>
        <a:effectLst/>
      </c:spPr>
    </c:title>
    <c:plotArea>
      <c:layout>
        <c:manualLayout>
          <c:layoutTarget val="inner"/>
          <c:xMode val="edge"/>
          <c:yMode val="edge"/>
          <c:x val="0.10197076658521154"/>
          <c:y val="0.14087409454856295"/>
          <c:w val="0.86713842881708769"/>
          <c:h val="0.70875139582479663"/>
        </c:manualLayout>
      </c:layout>
      <c:lineChart>
        <c:grouping val="standard"/>
        <c:ser>
          <c:idx val="0"/>
          <c:order val="0"/>
          <c:tx>
            <c:v>Power (HP)</c:v>
          </c:tx>
          <c:marker>
            <c:symbol val="circle"/>
            <c:size val="5"/>
          </c:marker>
          <c:cat>
            <c:numRef>
              <c:f>'OM603 Aftercooled'!$E$6:$J$6</c:f>
              <c:numCache>
                <c:formatCode>General</c:formatCode>
                <c:ptCount val="6"/>
                <c:pt idx="0">
                  <c:v>1900</c:v>
                </c:pt>
                <c:pt idx="1">
                  <c:v>2400</c:v>
                </c:pt>
                <c:pt idx="2">
                  <c:v>3000</c:v>
                </c:pt>
                <c:pt idx="3">
                  <c:v>4000</c:v>
                </c:pt>
                <c:pt idx="4">
                  <c:v>4700</c:v>
                </c:pt>
                <c:pt idx="5">
                  <c:v>5250</c:v>
                </c:pt>
              </c:numCache>
            </c:numRef>
          </c:cat>
          <c:val>
            <c:numRef>
              <c:f>'OM603 Aftercooled'!$D$17:$I$17</c:f>
              <c:numCache>
                <c:formatCode>0</c:formatCode>
                <c:ptCount val="6"/>
                <c:pt idx="0">
                  <c:v>81.041903159961294</c:v>
                </c:pt>
                <c:pt idx="1">
                  <c:v>107.9169756167032</c:v>
                </c:pt>
                <c:pt idx="2">
                  <c:v>134.89621952087899</c:v>
                </c:pt>
                <c:pt idx="3">
                  <c:v>163.87392593647522</c:v>
                </c:pt>
                <c:pt idx="4">
                  <c:v>174.52182108699765</c:v>
                </c:pt>
                <c:pt idx="5">
                  <c:v>163.04456399423572</c:v>
                </c:pt>
              </c:numCache>
            </c:numRef>
          </c:val>
        </c:ser>
        <c:ser>
          <c:idx val="1"/>
          <c:order val="1"/>
          <c:tx>
            <c:v>Torque (lb/ft)</c:v>
          </c:tx>
          <c:marker>
            <c:symbol val="circle"/>
            <c:size val="5"/>
          </c:marker>
          <c:cat>
            <c:numRef>
              <c:f>'OM603 Aftercooled'!$E$6:$J$6</c:f>
              <c:numCache>
                <c:formatCode>General</c:formatCode>
                <c:ptCount val="6"/>
                <c:pt idx="0">
                  <c:v>1900</c:v>
                </c:pt>
                <c:pt idx="1">
                  <c:v>2400</c:v>
                </c:pt>
                <c:pt idx="2">
                  <c:v>3000</c:v>
                </c:pt>
                <c:pt idx="3">
                  <c:v>4000</c:v>
                </c:pt>
                <c:pt idx="4">
                  <c:v>4700</c:v>
                </c:pt>
                <c:pt idx="5">
                  <c:v>5250</c:v>
                </c:pt>
              </c:numCache>
            </c:numRef>
          </c:cat>
          <c:val>
            <c:numRef>
              <c:f>'OM603 Aftercooled'!$D$18:$I$18</c:f>
              <c:numCache>
                <c:formatCode>0</c:formatCode>
                <c:ptCount val="6"/>
                <c:pt idx="0">
                  <c:v>224.01688178742984</c:v>
                </c:pt>
                <c:pt idx="1">
                  <c:v>236.15831497455216</c:v>
                </c:pt>
                <c:pt idx="2">
                  <c:v>236.15831497455213</c:v>
                </c:pt>
                <c:pt idx="3">
                  <c:v>215.16646475459197</c:v>
                </c:pt>
                <c:pt idx="4">
                  <c:v>195.01885198913016</c:v>
                </c:pt>
                <c:pt idx="5">
                  <c:v>163.10667620909066</c:v>
                </c:pt>
              </c:numCache>
            </c:numRef>
          </c:val>
        </c:ser>
        <c:marker val="1"/>
        <c:axId val="63782912"/>
        <c:axId val="63784448"/>
      </c:lineChart>
      <c:catAx>
        <c:axId val="63782912"/>
        <c:scaling>
          <c:orientation val="minMax"/>
        </c:scaling>
        <c:axPos val="b"/>
        <c:numFmt formatCode="General" sourceLinked="1"/>
        <c:tickLblPos val="nextTo"/>
        <c:crossAx val="63784448"/>
        <c:crosses val="autoZero"/>
        <c:auto val="1"/>
        <c:lblAlgn val="ctr"/>
        <c:lblOffset val="100"/>
      </c:catAx>
      <c:valAx>
        <c:axId val="63784448"/>
        <c:scaling>
          <c:orientation val="minMax"/>
        </c:scaling>
        <c:axPos val="l"/>
        <c:majorGridlines/>
        <c:numFmt formatCode="0" sourceLinked="1"/>
        <c:tickLblPos val="nextTo"/>
        <c:crossAx val="63782912"/>
        <c:crosses val="autoZero"/>
        <c:crossBetween val="between"/>
      </c:valAx>
    </c:plotArea>
    <c:legend>
      <c:legendPos val="r"/>
      <c:layout>
        <c:manualLayout>
          <c:xMode val="edge"/>
          <c:yMode val="edge"/>
          <c:x val="0.76058489804159202"/>
          <c:y val="0.59254983461639865"/>
          <c:w val="0.20777780920076988"/>
          <c:h val="0.18720479866049683"/>
        </c:manualLayout>
      </c:layout>
      <c:spPr>
        <a:solidFill>
          <a:sysClr val="window" lastClr="FFFFFF">
            <a:lumMod val="95000"/>
          </a:sysClr>
        </a:solidFill>
        <a:ln>
          <a:solidFill>
            <a:sysClr val="windowText" lastClr="000000"/>
          </a:solidFill>
        </a:ln>
        <a:effectLst/>
      </c:spPr>
    </c:legend>
    <c:plotVisOnly val="1"/>
    <c:dispBlanksAs val="gap"/>
  </c:chart>
  <c:printSettings>
    <c:headerFooter/>
    <c:pageMargins b="0.750000000000001" l="0.70000000000000062" r="0.70000000000000062" t="0.750000000000001"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Boost Pressure (psig)</a:t>
            </a:r>
          </a:p>
        </c:rich>
      </c:tx>
      <c:layout>
        <c:manualLayout>
          <c:xMode val="edge"/>
          <c:yMode val="edge"/>
          <c:x val="0.320643095288765"/>
          <c:y val="4.9709564992900602E-3"/>
        </c:manualLayout>
      </c:layout>
    </c:title>
    <c:plotArea>
      <c:layout>
        <c:manualLayout>
          <c:layoutTarget val="inner"/>
          <c:xMode val="edge"/>
          <c:yMode val="edge"/>
          <c:x val="0.10197076658521158"/>
          <c:y val="0.18836519164733015"/>
          <c:w val="0.86713842881708769"/>
          <c:h val="0.63626903484432962"/>
        </c:manualLayout>
      </c:layout>
      <c:lineChart>
        <c:grouping val="standard"/>
        <c:ser>
          <c:idx val="0"/>
          <c:order val="0"/>
          <c:tx>
            <c:v>Total</c:v>
          </c:tx>
          <c:cat>
            <c:numRef>
              <c:f>'OM603 Aftercooled'!$E$6:$J$6</c:f>
              <c:numCache>
                <c:formatCode>General</c:formatCode>
                <c:ptCount val="6"/>
                <c:pt idx="0">
                  <c:v>1900</c:v>
                </c:pt>
                <c:pt idx="1">
                  <c:v>2400</c:v>
                </c:pt>
                <c:pt idx="2">
                  <c:v>3000</c:v>
                </c:pt>
                <c:pt idx="3">
                  <c:v>4000</c:v>
                </c:pt>
                <c:pt idx="4">
                  <c:v>4700</c:v>
                </c:pt>
                <c:pt idx="5">
                  <c:v>5250</c:v>
                </c:pt>
              </c:numCache>
            </c:numRef>
          </c:cat>
          <c:val>
            <c:numRef>
              <c:f>'OM603 Aftercooled'!$D$20:$I$20</c:f>
              <c:numCache>
                <c:formatCode>0.0</c:formatCode>
                <c:ptCount val="6"/>
                <c:pt idx="0">
                  <c:v>9.1829999999999981</c:v>
                </c:pt>
                <c:pt idx="1">
                  <c:v>12.304799999999998</c:v>
                </c:pt>
                <c:pt idx="2">
                  <c:v>12.304799999999998</c:v>
                </c:pt>
                <c:pt idx="3">
                  <c:v>12.304799999999998</c:v>
                </c:pt>
                <c:pt idx="4">
                  <c:v>12.304799999999998</c:v>
                </c:pt>
                <c:pt idx="5">
                  <c:v>12.304799999999998</c:v>
                </c:pt>
              </c:numCache>
            </c:numRef>
          </c:val>
        </c:ser>
        <c:ser>
          <c:idx val="1"/>
          <c:order val="1"/>
          <c:tx>
            <c:v>LP Turbo</c:v>
          </c:tx>
          <c:cat>
            <c:numRef>
              <c:f>'OM603 Aftercooled'!$E$6:$J$6</c:f>
              <c:numCache>
                <c:formatCode>General</c:formatCode>
                <c:ptCount val="6"/>
                <c:pt idx="0">
                  <c:v>1900</c:v>
                </c:pt>
                <c:pt idx="1">
                  <c:v>2400</c:v>
                </c:pt>
                <c:pt idx="2">
                  <c:v>3000</c:v>
                </c:pt>
                <c:pt idx="3">
                  <c:v>4000</c:v>
                </c:pt>
                <c:pt idx="4">
                  <c:v>4700</c:v>
                </c:pt>
                <c:pt idx="5">
                  <c:v>5250</c:v>
                </c:pt>
              </c:numCache>
            </c:numRef>
          </c:cat>
          <c:val>
            <c:numRef>
              <c:f>'OM603 Aftercooled'!$D$72:$I$72</c:f>
              <c:numCache>
                <c:formatCode>0.0</c:formatCode>
                <c:ptCount val="6"/>
                <c:pt idx="0">
                  <c:v>0</c:v>
                </c:pt>
                <c:pt idx="1">
                  <c:v>0</c:v>
                </c:pt>
                <c:pt idx="2">
                  <c:v>0</c:v>
                </c:pt>
                <c:pt idx="3">
                  <c:v>0</c:v>
                </c:pt>
                <c:pt idx="4">
                  <c:v>0</c:v>
                </c:pt>
                <c:pt idx="5">
                  <c:v>0</c:v>
                </c:pt>
              </c:numCache>
            </c:numRef>
          </c:val>
        </c:ser>
        <c:ser>
          <c:idx val="2"/>
          <c:order val="2"/>
          <c:tx>
            <c:v>HP Turbo</c:v>
          </c:tx>
          <c:cat>
            <c:numRef>
              <c:f>'OM603 Aftercooled'!$E$6:$J$6</c:f>
              <c:numCache>
                <c:formatCode>General</c:formatCode>
                <c:ptCount val="6"/>
                <c:pt idx="0">
                  <c:v>1900</c:v>
                </c:pt>
                <c:pt idx="1">
                  <c:v>2400</c:v>
                </c:pt>
                <c:pt idx="2">
                  <c:v>3000</c:v>
                </c:pt>
                <c:pt idx="3">
                  <c:v>4000</c:v>
                </c:pt>
                <c:pt idx="4">
                  <c:v>4700</c:v>
                </c:pt>
                <c:pt idx="5">
                  <c:v>5250</c:v>
                </c:pt>
              </c:numCache>
            </c:numRef>
          </c:cat>
          <c:val>
            <c:numRef>
              <c:f>'OM603 Aftercooled'!$D$73:$I$73</c:f>
              <c:numCache>
                <c:formatCode>0.0</c:formatCode>
                <c:ptCount val="6"/>
                <c:pt idx="0">
                  <c:v>10.282999999999999</c:v>
                </c:pt>
                <c:pt idx="1">
                  <c:v>13.514799999999999</c:v>
                </c:pt>
                <c:pt idx="2">
                  <c:v>13.514799999999999</c:v>
                </c:pt>
                <c:pt idx="3">
                  <c:v>13.514799999999999</c:v>
                </c:pt>
                <c:pt idx="4">
                  <c:v>13.514799999999999</c:v>
                </c:pt>
                <c:pt idx="5">
                  <c:v>13.514799999999999</c:v>
                </c:pt>
              </c:numCache>
            </c:numRef>
          </c:val>
        </c:ser>
        <c:marker val="1"/>
        <c:axId val="63810176"/>
        <c:axId val="63701376"/>
      </c:lineChart>
      <c:catAx>
        <c:axId val="63810176"/>
        <c:scaling>
          <c:orientation val="minMax"/>
        </c:scaling>
        <c:axPos val="b"/>
        <c:numFmt formatCode="General" sourceLinked="1"/>
        <c:tickLblPos val="nextTo"/>
        <c:crossAx val="63701376"/>
        <c:crosses val="autoZero"/>
        <c:auto val="1"/>
        <c:lblAlgn val="ctr"/>
        <c:lblOffset val="100"/>
      </c:catAx>
      <c:valAx>
        <c:axId val="63701376"/>
        <c:scaling>
          <c:orientation val="minMax"/>
        </c:scaling>
        <c:axPos val="l"/>
        <c:majorGridlines/>
        <c:numFmt formatCode="0.0" sourceLinked="1"/>
        <c:tickLblPos val="nextTo"/>
        <c:crossAx val="63810176"/>
        <c:crosses val="autoZero"/>
        <c:crossBetween val="between"/>
      </c:valAx>
    </c:plotArea>
    <c:legend>
      <c:legendPos val="r"/>
      <c:layout>
        <c:manualLayout>
          <c:xMode val="edge"/>
          <c:yMode val="edge"/>
          <c:x val="0.71009003820365613"/>
          <c:y val="0.47560253767776184"/>
          <c:w val="0.23952944086940475"/>
          <c:h val="0.31936491545114304"/>
        </c:manualLayout>
      </c:layout>
      <c:spPr>
        <a:solidFill>
          <a:schemeClr val="bg1">
            <a:lumMod val="95000"/>
          </a:schemeClr>
        </a:solidFill>
        <a:ln>
          <a:solidFill>
            <a:schemeClr val="tx1"/>
          </a:solidFill>
        </a:ln>
        <a:effectLst/>
      </c:spPr>
    </c:legend>
    <c:plotVisOnly val="1"/>
    <c:dispBlanksAs val="gap"/>
  </c:chart>
  <c:printSettings>
    <c:headerFooter/>
    <c:pageMargins b="0.75000000000000122" l="0.70000000000000062" r="0.70000000000000062" t="0.75000000000000122"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8314898650200881"/>
          <c:y val="6.4379745898315577E-2"/>
          <c:w val="0.76433647428137363"/>
          <c:h val="0.75003133786168963"/>
        </c:manualLayout>
      </c:layout>
      <c:scatterChart>
        <c:scatterStyle val="lineMarker"/>
        <c:ser>
          <c:idx val="0"/>
          <c:order val="0"/>
          <c:spPr>
            <a:ln w="28575">
              <a:noFill/>
            </a:ln>
          </c:spPr>
          <c:marker>
            <c:symbol val="diamond"/>
            <c:size val="10"/>
            <c:spPr>
              <a:solidFill>
                <a:srgbClr val="F79646"/>
              </a:solidFill>
            </c:spPr>
          </c:marker>
          <c:xVal>
            <c:numRef>
              <c:f>'OM603 Super 60'!$D$22:$I$22</c:f>
              <c:numCache>
                <c:formatCode>0.0</c:formatCode>
                <c:ptCount val="6"/>
                <c:pt idx="0">
                  <c:v>11.390200287153347</c:v>
                </c:pt>
                <c:pt idx="1">
                  <c:v>15.71934798621418</c:v>
                </c:pt>
                <c:pt idx="2">
                  <c:v>23.8689817661372</c:v>
                </c:pt>
                <c:pt idx="3">
                  <c:v>28.996392664048159</c:v>
                </c:pt>
                <c:pt idx="4">
                  <c:v>31.993275930240941</c:v>
                </c:pt>
                <c:pt idx="5">
                  <c:v>34.035399925788226</c:v>
                </c:pt>
              </c:numCache>
            </c:numRef>
          </c:xVal>
          <c:yVal>
            <c:numRef>
              <c:f>'OM603 Super 60'!$E$8:$J$8</c:f>
              <c:numCache>
                <c:formatCode>General</c:formatCode>
                <c:ptCount val="6"/>
                <c:pt idx="0">
                  <c:v>1.7</c:v>
                </c:pt>
                <c:pt idx="1">
                  <c:v>2</c:v>
                </c:pt>
                <c:pt idx="2">
                  <c:v>2.5</c:v>
                </c:pt>
                <c:pt idx="3">
                  <c:v>2.5</c:v>
                </c:pt>
                <c:pt idx="4">
                  <c:v>2.5</c:v>
                </c:pt>
                <c:pt idx="5">
                  <c:v>2.5</c:v>
                </c:pt>
              </c:numCache>
            </c:numRef>
          </c:yVal>
        </c:ser>
        <c:axId val="63909888"/>
        <c:axId val="63911808"/>
      </c:scatterChart>
      <c:valAx>
        <c:axId val="63909888"/>
        <c:scaling>
          <c:orientation val="minMax"/>
          <c:max val="35"/>
          <c:min val="0"/>
        </c:scaling>
        <c:axPos val="b"/>
        <c:numFmt formatCode="0.0" sourceLinked="1"/>
        <c:tickLblPos val="none"/>
        <c:crossAx val="63911808"/>
        <c:crosses val="autoZero"/>
        <c:crossBetween val="midCat"/>
      </c:valAx>
      <c:valAx>
        <c:axId val="63911808"/>
        <c:scaling>
          <c:orientation val="minMax"/>
          <c:max val="3.2"/>
          <c:min val="1"/>
        </c:scaling>
        <c:axPos val="l"/>
        <c:majorGridlines/>
        <c:numFmt formatCode="General" sourceLinked="1"/>
        <c:tickLblPos val="none"/>
        <c:crossAx val="63909888"/>
        <c:crosses val="autoZero"/>
        <c:crossBetween val="midCat"/>
      </c:valAx>
      <c:spPr>
        <a:noFill/>
        <a:ln w="25400">
          <a:noFill/>
        </a:ln>
      </c:spPr>
    </c:plotArea>
    <c:plotVisOnly val="1"/>
    <c:dispBlanksAs val="gap"/>
  </c:chart>
  <c:spPr>
    <a:blipFill dpi="0" rotWithShape="1">
      <a:blip xmlns:r="http://schemas.openxmlformats.org/officeDocument/2006/relationships" r:embed="rId1"/>
      <a:srcRect/>
      <a:stretch>
        <a:fillRect t="5000" r="3000"/>
      </a:stretch>
    </a:blipFill>
  </c:spPr>
  <c:printSettings>
    <c:headerFooter/>
    <c:pageMargins b="0.75000000000000167" l="0.70000000000000062" r="0.70000000000000062" t="0.75000000000000167"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9.7507023136896298E-2"/>
          <c:y val="7.4167979683683924E-2"/>
          <c:w val="0.82960589368438686"/>
          <c:h val="0.8289187420335109"/>
        </c:manualLayout>
      </c:layout>
      <c:scatterChart>
        <c:scatterStyle val="lineMarker"/>
        <c:ser>
          <c:idx val="0"/>
          <c:order val="0"/>
          <c:spPr>
            <a:ln w="28575">
              <a:noFill/>
            </a:ln>
          </c:spPr>
          <c:marker>
            <c:symbol val="diamond"/>
            <c:size val="10"/>
            <c:spPr>
              <a:solidFill>
                <a:srgbClr val="00FF00"/>
              </a:solidFill>
            </c:spPr>
          </c:marker>
          <c:xVal>
            <c:numRef>
              <c:f>'OM603 Super 60'!$D$21:$H$21</c:f>
              <c:numCache>
                <c:formatCode>0.0</c:formatCode>
                <c:ptCount val="5"/>
                <c:pt idx="0">
                  <c:v>11.193001528719252</c:v>
                </c:pt>
                <c:pt idx="1">
                  <c:v>15.447198609721553</c:v>
                </c:pt>
                <c:pt idx="2">
                  <c:v>23.455737621986625</c:v>
                </c:pt>
                <c:pt idx="3">
                  <c:v>28.494377555598568</c:v>
                </c:pt>
                <c:pt idx="4">
                  <c:v>31.43937572369245</c:v>
                </c:pt>
              </c:numCache>
            </c:numRef>
          </c:xVal>
          <c:yVal>
            <c:numRef>
              <c:f>'OM603 Super 60'!$E$7:$I$7</c:f>
              <c:numCache>
                <c:formatCode>General</c:formatCode>
                <c:ptCount val="5"/>
                <c:pt idx="0">
                  <c:v>1</c:v>
                </c:pt>
                <c:pt idx="1">
                  <c:v>1</c:v>
                </c:pt>
                <c:pt idx="2">
                  <c:v>1</c:v>
                </c:pt>
                <c:pt idx="3">
                  <c:v>1</c:v>
                </c:pt>
                <c:pt idx="4">
                  <c:v>1</c:v>
                </c:pt>
              </c:numCache>
            </c:numRef>
          </c:yVal>
        </c:ser>
        <c:axId val="63938944"/>
        <c:axId val="63940864"/>
      </c:scatterChart>
      <c:valAx>
        <c:axId val="63938944"/>
        <c:scaling>
          <c:orientation val="minMax"/>
          <c:max val="80"/>
          <c:min val="0"/>
        </c:scaling>
        <c:axPos val="b"/>
        <c:numFmt formatCode="0.0" sourceLinked="1"/>
        <c:tickLblPos val="none"/>
        <c:crossAx val="63940864"/>
        <c:crosses val="autoZero"/>
        <c:crossBetween val="midCat"/>
      </c:valAx>
      <c:valAx>
        <c:axId val="63940864"/>
        <c:scaling>
          <c:orientation val="minMax"/>
          <c:max val="4.5"/>
          <c:min val="1"/>
        </c:scaling>
        <c:axPos val="l"/>
        <c:majorGridlines/>
        <c:numFmt formatCode="General" sourceLinked="1"/>
        <c:tickLblPos val="none"/>
        <c:spPr>
          <a:noFill/>
        </c:spPr>
        <c:crossAx val="63938944"/>
        <c:crosses val="autoZero"/>
        <c:crossBetween val="midCat"/>
      </c:valAx>
      <c:spPr>
        <a:noFill/>
        <a:ln w="25400">
          <a:noFill/>
        </a:ln>
      </c:spPr>
    </c:plotArea>
    <c:plotVisOnly val="1"/>
    <c:dispBlanksAs val="gap"/>
  </c:chart>
  <c:spPr>
    <a:blipFill dpi="0" rotWithShape="1">
      <a:blip xmlns:r="http://schemas.openxmlformats.org/officeDocument/2006/relationships" r:embed="rId1"/>
      <a:srcRect/>
      <a:stretch>
        <a:fillRect b="2000"/>
      </a:stretch>
    </a:blipFill>
  </c:spPr>
  <c:printSettings>
    <c:headerFooter/>
    <c:pageMargins b="0.75000000000000122" l="0.70000000000000062" r="0.70000000000000062" t="0.75000000000000122"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6955163947935642"/>
          <c:y val="1.6186956629530822E-2"/>
          <c:w val="0.80851568202298418"/>
          <c:h val="0.76936952239464362"/>
        </c:manualLayout>
      </c:layout>
      <c:scatterChart>
        <c:scatterStyle val="lineMarker"/>
        <c:ser>
          <c:idx val="0"/>
          <c:order val="0"/>
          <c:spPr>
            <a:ln w="28575">
              <a:noFill/>
            </a:ln>
          </c:spPr>
          <c:marker>
            <c:symbol val="diamond"/>
            <c:size val="10"/>
            <c:spPr>
              <a:solidFill>
                <a:srgbClr val="F79646"/>
              </a:solidFill>
            </c:spPr>
          </c:marker>
          <c:xVal>
            <c:numRef>
              <c:f>'OM603 Super 60'!$D$22:$I$22</c:f>
              <c:numCache>
                <c:formatCode>0.0</c:formatCode>
                <c:ptCount val="6"/>
                <c:pt idx="0">
                  <c:v>11.390200287153347</c:v>
                </c:pt>
                <c:pt idx="1">
                  <c:v>15.71934798621418</c:v>
                </c:pt>
                <c:pt idx="2">
                  <c:v>23.8689817661372</c:v>
                </c:pt>
                <c:pt idx="3">
                  <c:v>28.996392664048159</c:v>
                </c:pt>
                <c:pt idx="4">
                  <c:v>31.993275930240941</c:v>
                </c:pt>
                <c:pt idx="5">
                  <c:v>34.035399925788226</c:v>
                </c:pt>
              </c:numCache>
            </c:numRef>
          </c:xVal>
          <c:yVal>
            <c:numRef>
              <c:f>'OM603 Super 60'!$E$8:$J$8</c:f>
              <c:numCache>
                <c:formatCode>General</c:formatCode>
                <c:ptCount val="6"/>
                <c:pt idx="0">
                  <c:v>1.7</c:v>
                </c:pt>
                <c:pt idx="1">
                  <c:v>2</c:v>
                </c:pt>
                <c:pt idx="2">
                  <c:v>2.5</c:v>
                </c:pt>
                <c:pt idx="3">
                  <c:v>2.5</c:v>
                </c:pt>
                <c:pt idx="4">
                  <c:v>2.5</c:v>
                </c:pt>
                <c:pt idx="5">
                  <c:v>2.5</c:v>
                </c:pt>
              </c:numCache>
            </c:numRef>
          </c:yVal>
        </c:ser>
        <c:axId val="63841024"/>
        <c:axId val="63842944"/>
      </c:scatterChart>
      <c:valAx>
        <c:axId val="63841024"/>
        <c:scaling>
          <c:orientation val="minMax"/>
          <c:max val="40"/>
          <c:min val="0"/>
        </c:scaling>
        <c:axPos val="b"/>
        <c:numFmt formatCode="0.0" sourceLinked="1"/>
        <c:tickLblPos val="none"/>
        <c:crossAx val="63842944"/>
        <c:crosses val="autoZero"/>
        <c:crossBetween val="midCat"/>
      </c:valAx>
      <c:valAx>
        <c:axId val="63842944"/>
        <c:scaling>
          <c:orientation val="minMax"/>
          <c:max val="3.2"/>
          <c:min val="1"/>
        </c:scaling>
        <c:axPos val="l"/>
        <c:majorGridlines/>
        <c:numFmt formatCode="General" sourceLinked="1"/>
        <c:tickLblPos val="none"/>
        <c:crossAx val="63841024"/>
        <c:crosses val="autoZero"/>
        <c:crossBetween val="midCat"/>
      </c:valAx>
      <c:spPr>
        <a:noFill/>
        <a:ln w="25400">
          <a:noFill/>
        </a:ln>
      </c:spPr>
    </c:plotArea>
    <c:plotVisOnly val="1"/>
    <c:dispBlanksAs val="gap"/>
  </c:chart>
  <c:spPr>
    <a:blipFill dpi="0" rotWithShape="1">
      <a:blip xmlns:r="http://schemas.openxmlformats.org/officeDocument/2006/relationships" r:embed="rId1"/>
      <a:srcRect/>
      <a:stretch>
        <a:fillRect/>
      </a:stretch>
    </a:blipFill>
  </c:spPr>
  <c:printSettings>
    <c:headerFooter/>
    <c:pageMargins b="0.75000000000000189" l="0.70000000000000062" r="0.70000000000000062" t="0.7500000000000018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9.7507023136896132E-2"/>
          <c:y val="7.4167979683683924E-2"/>
          <c:w val="0.82960589368438553"/>
          <c:h val="0.82891874203351035"/>
        </c:manualLayout>
      </c:layout>
      <c:scatterChart>
        <c:scatterStyle val="lineMarker"/>
        <c:ser>
          <c:idx val="0"/>
          <c:order val="0"/>
          <c:spPr>
            <a:ln w="28575">
              <a:noFill/>
            </a:ln>
          </c:spPr>
          <c:marker>
            <c:symbol val="diamond"/>
            <c:size val="10"/>
            <c:spPr>
              <a:solidFill>
                <a:srgbClr val="00FF00"/>
              </a:solidFill>
            </c:spPr>
          </c:marker>
          <c:xVal>
            <c:numRef>
              <c:f>'OM603 Stock'!$D$21:$H$21</c:f>
              <c:numCache>
                <c:formatCode>0.0</c:formatCode>
                <c:ptCount val="5"/>
                <c:pt idx="0">
                  <c:v>9.80439105130732</c:v>
                </c:pt>
                <c:pt idx="1">
                  <c:v>12.668531043555387</c:v>
                </c:pt>
                <c:pt idx="2">
                  <c:v>15.835663804444236</c:v>
                </c:pt>
                <c:pt idx="3">
                  <c:v>19.237398992065582</c:v>
                </c:pt>
                <c:pt idx="4">
                  <c:v>21.225654558623585</c:v>
                </c:pt>
              </c:numCache>
            </c:numRef>
          </c:xVal>
          <c:yVal>
            <c:numRef>
              <c:f>'OM603 Stock'!$E$7:$I$7</c:f>
              <c:numCache>
                <c:formatCode>General</c:formatCode>
                <c:ptCount val="5"/>
                <c:pt idx="0">
                  <c:v>1</c:v>
                </c:pt>
                <c:pt idx="1">
                  <c:v>1</c:v>
                </c:pt>
                <c:pt idx="2">
                  <c:v>1</c:v>
                </c:pt>
                <c:pt idx="3">
                  <c:v>1</c:v>
                </c:pt>
                <c:pt idx="4">
                  <c:v>1</c:v>
                </c:pt>
              </c:numCache>
            </c:numRef>
          </c:yVal>
        </c:ser>
        <c:axId val="62751104"/>
        <c:axId val="62753024"/>
      </c:scatterChart>
      <c:valAx>
        <c:axId val="62751104"/>
        <c:scaling>
          <c:orientation val="minMax"/>
          <c:max val="80"/>
          <c:min val="0"/>
        </c:scaling>
        <c:axPos val="b"/>
        <c:numFmt formatCode="0.0" sourceLinked="1"/>
        <c:tickLblPos val="none"/>
        <c:crossAx val="62753024"/>
        <c:crosses val="autoZero"/>
        <c:crossBetween val="midCat"/>
      </c:valAx>
      <c:valAx>
        <c:axId val="62753024"/>
        <c:scaling>
          <c:orientation val="minMax"/>
          <c:max val="4.5"/>
          <c:min val="1"/>
        </c:scaling>
        <c:axPos val="l"/>
        <c:majorGridlines/>
        <c:numFmt formatCode="General" sourceLinked="1"/>
        <c:tickLblPos val="none"/>
        <c:spPr>
          <a:noFill/>
        </c:spPr>
        <c:crossAx val="62751104"/>
        <c:crosses val="autoZero"/>
        <c:crossBetween val="midCat"/>
      </c:valAx>
      <c:spPr>
        <a:noFill/>
        <a:ln w="25400">
          <a:noFill/>
        </a:ln>
      </c:spPr>
    </c:plotArea>
    <c:plotVisOnly val="1"/>
    <c:dispBlanksAs val="gap"/>
  </c:chart>
  <c:spPr>
    <a:blipFill dpi="0" rotWithShape="1">
      <a:blip xmlns:r="http://schemas.openxmlformats.org/officeDocument/2006/relationships" r:embed="rId1"/>
      <a:srcRect/>
      <a:stretch>
        <a:fillRect b="2000"/>
      </a:stretch>
    </a:blipFill>
  </c:spPr>
  <c:printSettings>
    <c:headerFooter/>
    <c:pageMargins b="0.75000000000000078" l="0.70000000000000062" r="0.70000000000000062" t="0.75000000000000078"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6955163947935642"/>
          <c:y val="1.8584059468231752E-2"/>
          <c:w val="0.80851568202298418"/>
          <c:h val="0.77499624269934075"/>
        </c:manualLayout>
      </c:layout>
      <c:scatterChart>
        <c:scatterStyle val="lineMarker"/>
        <c:ser>
          <c:idx val="0"/>
          <c:order val="0"/>
          <c:spPr>
            <a:ln w="28575">
              <a:noFill/>
            </a:ln>
          </c:spPr>
          <c:marker>
            <c:symbol val="diamond"/>
            <c:size val="10"/>
            <c:spPr>
              <a:solidFill>
                <a:schemeClr val="accent6"/>
              </a:solidFill>
            </c:spPr>
          </c:marker>
          <c:xVal>
            <c:numRef>
              <c:f>'OM603 Super 60'!$D$22:$I$22</c:f>
              <c:numCache>
                <c:formatCode>0.0</c:formatCode>
                <c:ptCount val="6"/>
                <c:pt idx="0">
                  <c:v>11.390200287153347</c:v>
                </c:pt>
                <c:pt idx="1">
                  <c:v>15.71934798621418</c:v>
                </c:pt>
                <c:pt idx="2">
                  <c:v>23.8689817661372</c:v>
                </c:pt>
                <c:pt idx="3">
                  <c:v>28.996392664048159</c:v>
                </c:pt>
                <c:pt idx="4">
                  <c:v>31.993275930240941</c:v>
                </c:pt>
                <c:pt idx="5">
                  <c:v>34.035399925788226</c:v>
                </c:pt>
              </c:numCache>
            </c:numRef>
          </c:xVal>
          <c:yVal>
            <c:numRef>
              <c:f>'OM603 Super 60'!$E$8:$J$8</c:f>
              <c:numCache>
                <c:formatCode>General</c:formatCode>
                <c:ptCount val="6"/>
                <c:pt idx="0">
                  <c:v>1.7</c:v>
                </c:pt>
                <c:pt idx="1">
                  <c:v>2</c:v>
                </c:pt>
                <c:pt idx="2">
                  <c:v>2.5</c:v>
                </c:pt>
                <c:pt idx="3">
                  <c:v>2.5</c:v>
                </c:pt>
                <c:pt idx="4">
                  <c:v>2.5</c:v>
                </c:pt>
                <c:pt idx="5">
                  <c:v>2.5</c:v>
                </c:pt>
              </c:numCache>
            </c:numRef>
          </c:yVal>
        </c:ser>
        <c:axId val="63861888"/>
        <c:axId val="63863808"/>
      </c:scatterChart>
      <c:valAx>
        <c:axId val="63861888"/>
        <c:scaling>
          <c:orientation val="minMax"/>
          <c:max val="40"/>
          <c:min val="0"/>
        </c:scaling>
        <c:axPos val="b"/>
        <c:numFmt formatCode="0.0" sourceLinked="1"/>
        <c:tickLblPos val="none"/>
        <c:crossAx val="63863808"/>
        <c:crosses val="autoZero"/>
        <c:crossBetween val="midCat"/>
      </c:valAx>
      <c:valAx>
        <c:axId val="63863808"/>
        <c:scaling>
          <c:orientation val="minMax"/>
          <c:max val="3"/>
          <c:min val="1"/>
        </c:scaling>
        <c:axPos val="l"/>
        <c:majorGridlines/>
        <c:numFmt formatCode="General" sourceLinked="1"/>
        <c:tickLblPos val="none"/>
        <c:crossAx val="63861888"/>
        <c:crosses val="autoZero"/>
        <c:crossBetween val="midCat"/>
      </c:valAx>
      <c:spPr>
        <a:noFill/>
        <a:ln w="25400">
          <a:noFill/>
        </a:ln>
      </c:spPr>
    </c:plotArea>
    <c:plotVisOnly val="1"/>
    <c:dispBlanksAs val="gap"/>
  </c:chart>
  <c:spPr>
    <a:blipFill dpi="0" rotWithShape="1">
      <a:blip xmlns:r="http://schemas.openxmlformats.org/officeDocument/2006/relationships" r:embed="rId1"/>
      <a:srcRect/>
      <a:stretch>
        <a:fillRect/>
      </a:stretch>
    </a:blipFill>
  </c:spPr>
  <c:printSettings>
    <c:headerFooter/>
    <c:pageMargins b="0.75000000000000211" l="0.70000000000000062" r="0.70000000000000062" t="0.75000000000000211"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7642649666649568"/>
          <c:y val="0.17106438136199897"/>
          <c:w val="0.73334009192584571"/>
          <c:h val="0.73069674096656045"/>
        </c:manualLayout>
      </c:layout>
      <c:scatterChart>
        <c:scatterStyle val="lineMarker"/>
        <c:ser>
          <c:idx val="0"/>
          <c:order val="0"/>
          <c:spPr>
            <a:ln w="28575">
              <a:noFill/>
            </a:ln>
          </c:spPr>
          <c:marker>
            <c:symbol val="diamond"/>
            <c:size val="10"/>
            <c:spPr>
              <a:solidFill>
                <a:srgbClr val="F79646"/>
              </a:solidFill>
            </c:spPr>
          </c:marker>
          <c:xVal>
            <c:numRef>
              <c:f>'OM603 Super 60'!$D$22:$I$22</c:f>
              <c:numCache>
                <c:formatCode>0.0</c:formatCode>
                <c:ptCount val="6"/>
                <c:pt idx="0">
                  <c:v>11.390200287153347</c:v>
                </c:pt>
                <c:pt idx="1">
                  <c:v>15.71934798621418</c:v>
                </c:pt>
                <c:pt idx="2">
                  <c:v>23.8689817661372</c:v>
                </c:pt>
                <c:pt idx="3">
                  <c:v>28.996392664048159</c:v>
                </c:pt>
                <c:pt idx="4">
                  <c:v>31.993275930240941</c:v>
                </c:pt>
                <c:pt idx="5">
                  <c:v>34.035399925788226</c:v>
                </c:pt>
              </c:numCache>
            </c:numRef>
          </c:xVal>
          <c:yVal>
            <c:numRef>
              <c:f>'OM603 Super 60'!$E$8:$J$8</c:f>
              <c:numCache>
                <c:formatCode>General</c:formatCode>
                <c:ptCount val="6"/>
                <c:pt idx="0">
                  <c:v>1.7</c:v>
                </c:pt>
                <c:pt idx="1">
                  <c:v>2</c:v>
                </c:pt>
                <c:pt idx="2">
                  <c:v>2.5</c:v>
                </c:pt>
                <c:pt idx="3">
                  <c:v>2.5</c:v>
                </c:pt>
                <c:pt idx="4">
                  <c:v>2.5</c:v>
                </c:pt>
                <c:pt idx="5">
                  <c:v>2.5</c:v>
                </c:pt>
              </c:numCache>
            </c:numRef>
          </c:yVal>
        </c:ser>
        <c:axId val="64034304"/>
        <c:axId val="64036224"/>
      </c:scatterChart>
      <c:valAx>
        <c:axId val="64034304"/>
        <c:scaling>
          <c:orientation val="minMax"/>
          <c:max val="35"/>
          <c:min val="0"/>
        </c:scaling>
        <c:axPos val="b"/>
        <c:numFmt formatCode="0.0" sourceLinked="1"/>
        <c:tickLblPos val="none"/>
        <c:crossAx val="64036224"/>
        <c:crosses val="autoZero"/>
        <c:crossBetween val="midCat"/>
      </c:valAx>
      <c:valAx>
        <c:axId val="64036224"/>
        <c:scaling>
          <c:orientation val="minMax"/>
          <c:max val="3.2"/>
          <c:min val="1"/>
        </c:scaling>
        <c:axPos val="l"/>
        <c:majorGridlines/>
        <c:numFmt formatCode="General" sourceLinked="1"/>
        <c:tickLblPos val="none"/>
        <c:crossAx val="64034304"/>
        <c:crosses val="autoZero"/>
        <c:crossBetween val="midCat"/>
      </c:valAx>
      <c:spPr>
        <a:noFill/>
        <a:ln w="25400">
          <a:noFill/>
        </a:ln>
      </c:spPr>
    </c:plotArea>
    <c:plotVisOnly val="1"/>
    <c:dispBlanksAs val="gap"/>
  </c:chart>
  <c:spPr>
    <a:blipFill dpi="0" rotWithShape="1">
      <a:blip xmlns:r="http://schemas.openxmlformats.org/officeDocument/2006/relationships" r:embed="rId1"/>
      <a:srcRect/>
      <a:stretch>
        <a:fillRect/>
      </a:stretch>
    </a:blipFill>
  </c:spPr>
  <c:printSettings>
    <c:headerFooter/>
    <c:pageMargins b="0.75000000000000211" l="0.70000000000000062" r="0.70000000000000062" t="0.75000000000000211"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9.7988945484202797E-2"/>
          <c:y val="7.6800228356141156E-2"/>
          <c:w val="0.83219832856220655"/>
          <c:h val="0.84436814440267949"/>
        </c:manualLayout>
      </c:layout>
      <c:scatterChart>
        <c:scatterStyle val="lineMarker"/>
        <c:ser>
          <c:idx val="0"/>
          <c:order val="0"/>
          <c:spPr>
            <a:ln w="28575">
              <a:noFill/>
            </a:ln>
          </c:spPr>
          <c:marker>
            <c:symbol val="diamond"/>
            <c:size val="10"/>
            <c:spPr>
              <a:solidFill>
                <a:srgbClr val="F79646"/>
              </a:solidFill>
            </c:spPr>
          </c:marker>
          <c:xVal>
            <c:numRef>
              <c:f>'OM603 Super 60'!$D$22:$I$22</c:f>
              <c:numCache>
                <c:formatCode>0.0</c:formatCode>
                <c:ptCount val="6"/>
                <c:pt idx="0">
                  <c:v>11.390200287153347</c:v>
                </c:pt>
                <c:pt idx="1">
                  <c:v>15.71934798621418</c:v>
                </c:pt>
                <c:pt idx="2">
                  <c:v>23.8689817661372</c:v>
                </c:pt>
                <c:pt idx="3">
                  <c:v>28.996392664048159</c:v>
                </c:pt>
                <c:pt idx="4">
                  <c:v>31.993275930240941</c:v>
                </c:pt>
                <c:pt idx="5">
                  <c:v>34.035399925788226</c:v>
                </c:pt>
              </c:numCache>
            </c:numRef>
          </c:xVal>
          <c:yVal>
            <c:numRef>
              <c:f>'OM603 Super 60'!$E$8:$J$8</c:f>
              <c:numCache>
                <c:formatCode>General</c:formatCode>
                <c:ptCount val="6"/>
                <c:pt idx="0">
                  <c:v>1.7</c:v>
                </c:pt>
                <c:pt idx="1">
                  <c:v>2</c:v>
                </c:pt>
                <c:pt idx="2">
                  <c:v>2.5</c:v>
                </c:pt>
                <c:pt idx="3">
                  <c:v>2.5</c:v>
                </c:pt>
                <c:pt idx="4">
                  <c:v>2.5</c:v>
                </c:pt>
                <c:pt idx="5">
                  <c:v>2.5</c:v>
                </c:pt>
              </c:numCache>
            </c:numRef>
          </c:yVal>
        </c:ser>
        <c:axId val="64059264"/>
        <c:axId val="64069632"/>
      </c:scatterChart>
      <c:valAx>
        <c:axId val="64059264"/>
        <c:scaling>
          <c:orientation val="minMax"/>
          <c:max val="40"/>
          <c:min val="0"/>
        </c:scaling>
        <c:axPos val="b"/>
        <c:numFmt formatCode="0.0" sourceLinked="1"/>
        <c:tickLblPos val="none"/>
        <c:crossAx val="64069632"/>
        <c:crosses val="autoZero"/>
        <c:crossBetween val="midCat"/>
      </c:valAx>
      <c:valAx>
        <c:axId val="64069632"/>
        <c:scaling>
          <c:orientation val="minMax"/>
          <c:max val="4"/>
          <c:min val="1"/>
        </c:scaling>
        <c:axPos val="l"/>
        <c:majorGridlines/>
        <c:numFmt formatCode="General" sourceLinked="1"/>
        <c:tickLblPos val="none"/>
        <c:crossAx val="64059264"/>
        <c:crosses val="autoZero"/>
        <c:crossBetween val="midCat"/>
      </c:valAx>
      <c:spPr>
        <a:noFill/>
        <a:ln w="25400">
          <a:noFill/>
        </a:ln>
      </c:spPr>
    </c:plotArea>
    <c:plotVisOnly val="1"/>
    <c:dispBlanksAs val="gap"/>
  </c:chart>
  <c:spPr>
    <a:blipFill dpi="0" rotWithShape="1">
      <a:blip xmlns:r="http://schemas.openxmlformats.org/officeDocument/2006/relationships" r:embed="rId1"/>
      <a:srcRect/>
      <a:stretch>
        <a:fillRect/>
      </a:stretch>
    </a:blipFill>
  </c:spPr>
  <c:printSettings>
    <c:headerFooter/>
    <c:pageMargins b="0.75000000000000233" l="0.70000000000000062" r="0.70000000000000062" t="0.75000000000000233"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HP and Torque</a:t>
            </a:r>
          </a:p>
        </c:rich>
      </c:tx>
      <c:layout>
        <c:manualLayout>
          <c:xMode val="edge"/>
          <c:yMode val="edge"/>
          <c:x val="0.38088209166162046"/>
          <c:y val="1.491242962659408E-2"/>
        </c:manualLayout>
      </c:layout>
      <c:spPr>
        <a:noFill/>
        <a:effectLst/>
      </c:spPr>
    </c:title>
    <c:plotArea>
      <c:layout>
        <c:manualLayout>
          <c:layoutTarget val="inner"/>
          <c:xMode val="edge"/>
          <c:yMode val="edge"/>
          <c:x val="0.10197076658521158"/>
          <c:y val="0.14087409454856295"/>
          <c:w val="0.86713842881708769"/>
          <c:h val="0.70875139582479663"/>
        </c:manualLayout>
      </c:layout>
      <c:lineChart>
        <c:grouping val="standard"/>
        <c:ser>
          <c:idx val="0"/>
          <c:order val="0"/>
          <c:tx>
            <c:v>Power (HP)</c:v>
          </c:tx>
          <c:marker>
            <c:symbol val="circle"/>
            <c:size val="5"/>
          </c:marker>
          <c:cat>
            <c:numRef>
              <c:f>'OM603 Super 60'!$E$6:$J$6</c:f>
              <c:numCache>
                <c:formatCode>General</c:formatCode>
                <c:ptCount val="6"/>
                <c:pt idx="0">
                  <c:v>1900</c:v>
                </c:pt>
                <c:pt idx="1">
                  <c:v>2400</c:v>
                </c:pt>
                <c:pt idx="2">
                  <c:v>3000</c:v>
                </c:pt>
                <c:pt idx="3">
                  <c:v>4000</c:v>
                </c:pt>
                <c:pt idx="4">
                  <c:v>4700</c:v>
                </c:pt>
                <c:pt idx="5">
                  <c:v>5500</c:v>
                </c:pt>
              </c:numCache>
            </c:numRef>
          </c:cat>
          <c:val>
            <c:numRef>
              <c:f>'OM603 Super 60'!$D$17:$I$17</c:f>
              <c:numCache>
                <c:formatCode>0</c:formatCode>
                <c:ptCount val="6"/>
                <c:pt idx="0">
                  <c:v>81.041903159961294</c:v>
                </c:pt>
                <c:pt idx="1">
                  <c:v>111.84402777125207</c:v>
                </c:pt>
                <c:pt idx="2">
                  <c:v>169.82912153001456</c:v>
                </c:pt>
                <c:pt idx="3">
                  <c:v>206.31093282164738</c:v>
                </c:pt>
                <c:pt idx="4">
                  <c:v>219.71622087182169</c:v>
                </c:pt>
                <c:pt idx="5">
                  <c:v>215.0414076617829</c:v>
                </c:pt>
              </c:numCache>
            </c:numRef>
          </c:val>
        </c:ser>
        <c:ser>
          <c:idx val="1"/>
          <c:order val="1"/>
          <c:tx>
            <c:v>Torque (lb/ft)</c:v>
          </c:tx>
          <c:marker>
            <c:symbol val="circle"/>
            <c:size val="5"/>
          </c:marker>
          <c:cat>
            <c:numRef>
              <c:f>'OM603 Super 60'!$E$6:$J$6</c:f>
              <c:numCache>
                <c:formatCode>General</c:formatCode>
                <c:ptCount val="6"/>
                <c:pt idx="0">
                  <c:v>1900</c:v>
                </c:pt>
                <c:pt idx="1">
                  <c:v>2400</c:v>
                </c:pt>
                <c:pt idx="2">
                  <c:v>3000</c:v>
                </c:pt>
                <c:pt idx="3">
                  <c:v>4000</c:v>
                </c:pt>
                <c:pt idx="4">
                  <c:v>4700</c:v>
                </c:pt>
                <c:pt idx="5">
                  <c:v>5500</c:v>
                </c:pt>
              </c:numCache>
            </c:numRef>
          </c:cat>
          <c:val>
            <c:numRef>
              <c:f>'OM603 Super 60'!$D$18:$I$18</c:f>
              <c:numCache>
                <c:formatCode>0</c:formatCode>
                <c:ptCount val="6"/>
                <c:pt idx="0">
                  <c:v>224.01688178742984</c:v>
                </c:pt>
                <c:pt idx="1">
                  <c:v>244.75201410608997</c:v>
                </c:pt>
                <c:pt idx="2">
                  <c:v>297.31418209187882</c:v>
                </c:pt>
                <c:pt idx="3">
                  <c:v>270.886254794823</c:v>
                </c:pt>
                <c:pt idx="4">
                  <c:v>245.52118979123566</c:v>
                </c:pt>
                <c:pt idx="5">
                  <c:v>205.34499509812434</c:v>
                </c:pt>
              </c:numCache>
            </c:numRef>
          </c:val>
        </c:ser>
        <c:marker val="1"/>
        <c:axId val="64081280"/>
        <c:axId val="63976576"/>
      </c:lineChart>
      <c:catAx>
        <c:axId val="64081280"/>
        <c:scaling>
          <c:orientation val="minMax"/>
        </c:scaling>
        <c:axPos val="b"/>
        <c:numFmt formatCode="General" sourceLinked="1"/>
        <c:tickLblPos val="nextTo"/>
        <c:crossAx val="63976576"/>
        <c:crosses val="autoZero"/>
        <c:auto val="1"/>
        <c:lblAlgn val="ctr"/>
        <c:lblOffset val="100"/>
      </c:catAx>
      <c:valAx>
        <c:axId val="63976576"/>
        <c:scaling>
          <c:orientation val="minMax"/>
        </c:scaling>
        <c:axPos val="l"/>
        <c:majorGridlines/>
        <c:numFmt formatCode="0" sourceLinked="1"/>
        <c:tickLblPos val="nextTo"/>
        <c:crossAx val="64081280"/>
        <c:crosses val="autoZero"/>
        <c:crossBetween val="between"/>
      </c:valAx>
    </c:plotArea>
    <c:legend>
      <c:legendPos val="r"/>
      <c:layout>
        <c:manualLayout>
          <c:xMode val="edge"/>
          <c:yMode val="edge"/>
          <c:x val="0.76058489804159224"/>
          <c:y val="0.59254983461639865"/>
          <c:w val="0.20777780920076988"/>
          <c:h val="0.18720479866049694"/>
        </c:manualLayout>
      </c:layout>
      <c:spPr>
        <a:solidFill>
          <a:sysClr val="window" lastClr="FFFFFF">
            <a:lumMod val="95000"/>
          </a:sysClr>
        </a:solidFill>
        <a:ln>
          <a:solidFill>
            <a:sysClr val="windowText" lastClr="000000"/>
          </a:solidFill>
        </a:ln>
        <a:effectLst/>
      </c:spPr>
    </c:legend>
    <c:plotVisOnly val="1"/>
    <c:dispBlanksAs val="gap"/>
  </c:chart>
  <c:printSettings>
    <c:headerFooter/>
    <c:pageMargins b="0.75000000000000122" l="0.70000000000000062" r="0.70000000000000062" t="0.75000000000000122"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Boost Pressure (psig)</a:t>
            </a:r>
          </a:p>
        </c:rich>
      </c:tx>
      <c:layout>
        <c:manualLayout>
          <c:xMode val="edge"/>
          <c:yMode val="edge"/>
          <c:x val="0.32064309528876511"/>
          <c:y val="4.9709564992900636E-3"/>
        </c:manualLayout>
      </c:layout>
    </c:title>
    <c:plotArea>
      <c:layout>
        <c:manualLayout>
          <c:layoutTarget val="inner"/>
          <c:xMode val="edge"/>
          <c:yMode val="edge"/>
          <c:x val="0.10197076658521163"/>
          <c:y val="0.18836519164733029"/>
          <c:w val="0.86713842881708769"/>
          <c:h val="0.63626903484432962"/>
        </c:manualLayout>
      </c:layout>
      <c:lineChart>
        <c:grouping val="standard"/>
        <c:ser>
          <c:idx val="0"/>
          <c:order val="0"/>
          <c:tx>
            <c:v>Total</c:v>
          </c:tx>
          <c:cat>
            <c:numRef>
              <c:f>'OM603 Super 60'!$E$6:$J$6</c:f>
              <c:numCache>
                <c:formatCode>General</c:formatCode>
                <c:ptCount val="6"/>
                <c:pt idx="0">
                  <c:v>1900</c:v>
                </c:pt>
                <c:pt idx="1">
                  <c:v>2400</c:v>
                </c:pt>
                <c:pt idx="2">
                  <c:v>3000</c:v>
                </c:pt>
                <c:pt idx="3">
                  <c:v>4000</c:v>
                </c:pt>
                <c:pt idx="4">
                  <c:v>4700</c:v>
                </c:pt>
                <c:pt idx="5">
                  <c:v>5500</c:v>
                </c:pt>
              </c:numCache>
            </c:numRef>
          </c:cat>
          <c:val>
            <c:numRef>
              <c:f>'OM603 Super 60'!$D$20:$I$20</c:f>
              <c:numCache>
                <c:formatCode>0.0</c:formatCode>
                <c:ptCount val="6"/>
                <c:pt idx="0">
                  <c:v>9.1829999999999981</c:v>
                </c:pt>
                <c:pt idx="1">
                  <c:v>13.44</c:v>
                </c:pt>
                <c:pt idx="2">
                  <c:v>20.535000000000004</c:v>
                </c:pt>
                <c:pt idx="3">
                  <c:v>20.535000000000004</c:v>
                </c:pt>
                <c:pt idx="4">
                  <c:v>20.535000000000004</c:v>
                </c:pt>
                <c:pt idx="5">
                  <c:v>20.535000000000004</c:v>
                </c:pt>
              </c:numCache>
            </c:numRef>
          </c:val>
        </c:ser>
        <c:ser>
          <c:idx val="1"/>
          <c:order val="1"/>
          <c:tx>
            <c:v>LP Turbo</c:v>
          </c:tx>
          <c:cat>
            <c:numRef>
              <c:f>'OM603 Super 60'!$E$6:$J$6</c:f>
              <c:numCache>
                <c:formatCode>General</c:formatCode>
                <c:ptCount val="6"/>
                <c:pt idx="0">
                  <c:v>1900</c:v>
                </c:pt>
                <c:pt idx="1">
                  <c:v>2400</c:v>
                </c:pt>
                <c:pt idx="2">
                  <c:v>3000</c:v>
                </c:pt>
                <c:pt idx="3">
                  <c:v>4000</c:v>
                </c:pt>
                <c:pt idx="4">
                  <c:v>4700</c:v>
                </c:pt>
                <c:pt idx="5">
                  <c:v>5500</c:v>
                </c:pt>
              </c:numCache>
            </c:numRef>
          </c:cat>
          <c:val>
            <c:numRef>
              <c:f>'OM603 Super 60'!$D$72:$I$72</c:f>
              <c:numCache>
                <c:formatCode>0.0</c:formatCode>
                <c:ptCount val="6"/>
                <c:pt idx="0">
                  <c:v>0</c:v>
                </c:pt>
                <c:pt idx="1">
                  <c:v>0</c:v>
                </c:pt>
                <c:pt idx="2">
                  <c:v>0</c:v>
                </c:pt>
                <c:pt idx="3">
                  <c:v>0</c:v>
                </c:pt>
                <c:pt idx="4">
                  <c:v>0</c:v>
                </c:pt>
                <c:pt idx="5">
                  <c:v>0</c:v>
                </c:pt>
              </c:numCache>
            </c:numRef>
          </c:val>
        </c:ser>
        <c:ser>
          <c:idx val="2"/>
          <c:order val="2"/>
          <c:tx>
            <c:v>HP Turbo</c:v>
          </c:tx>
          <c:cat>
            <c:numRef>
              <c:f>'OM603 Super 60'!$E$6:$J$6</c:f>
              <c:numCache>
                <c:formatCode>General</c:formatCode>
                <c:ptCount val="6"/>
                <c:pt idx="0">
                  <c:v>1900</c:v>
                </c:pt>
                <c:pt idx="1">
                  <c:v>2400</c:v>
                </c:pt>
                <c:pt idx="2">
                  <c:v>3000</c:v>
                </c:pt>
                <c:pt idx="3">
                  <c:v>4000</c:v>
                </c:pt>
                <c:pt idx="4">
                  <c:v>4700</c:v>
                </c:pt>
                <c:pt idx="5">
                  <c:v>5500</c:v>
                </c:pt>
              </c:numCache>
            </c:numRef>
          </c:cat>
          <c:val>
            <c:numRef>
              <c:f>'OM603 Super 60'!$D$73:$I$73</c:f>
              <c:numCache>
                <c:formatCode>0.0</c:formatCode>
                <c:ptCount val="6"/>
                <c:pt idx="0">
                  <c:v>10.282999999999999</c:v>
                </c:pt>
                <c:pt idx="1">
                  <c:v>14.69</c:v>
                </c:pt>
                <c:pt idx="2">
                  <c:v>22.035000000000004</c:v>
                </c:pt>
                <c:pt idx="3">
                  <c:v>22.035000000000004</c:v>
                </c:pt>
                <c:pt idx="4">
                  <c:v>22.035000000000004</c:v>
                </c:pt>
                <c:pt idx="5">
                  <c:v>22.035000000000004</c:v>
                </c:pt>
              </c:numCache>
            </c:numRef>
          </c:val>
        </c:ser>
        <c:marker val="1"/>
        <c:axId val="63998208"/>
        <c:axId val="64016384"/>
      </c:lineChart>
      <c:catAx>
        <c:axId val="63998208"/>
        <c:scaling>
          <c:orientation val="minMax"/>
        </c:scaling>
        <c:axPos val="b"/>
        <c:numFmt formatCode="General" sourceLinked="1"/>
        <c:tickLblPos val="nextTo"/>
        <c:crossAx val="64016384"/>
        <c:crosses val="autoZero"/>
        <c:auto val="1"/>
        <c:lblAlgn val="ctr"/>
        <c:lblOffset val="100"/>
      </c:catAx>
      <c:valAx>
        <c:axId val="64016384"/>
        <c:scaling>
          <c:orientation val="minMax"/>
        </c:scaling>
        <c:axPos val="l"/>
        <c:majorGridlines/>
        <c:numFmt formatCode="0.0" sourceLinked="1"/>
        <c:tickLblPos val="nextTo"/>
        <c:crossAx val="63998208"/>
        <c:crosses val="autoZero"/>
        <c:crossBetween val="between"/>
      </c:valAx>
    </c:plotArea>
    <c:legend>
      <c:legendPos val="r"/>
      <c:layout>
        <c:manualLayout>
          <c:xMode val="edge"/>
          <c:yMode val="edge"/>
          <c:x val="0.71009003820365635"/>
          <c:y val="0.47560253767776195"/>
          <c:w val="0.23952944086940486"/>
          <c:h val="0.31936491545114326"/>
        </c:manualLayout>
      </c:layout>
      <c:spPr>
        <a:solidFill>
          <a:schemeClr val="bg1">
            <a:lumMod val="95000"/>
          </a:schemeClr>
        </a:solidFill>
        <a:ln>
          <a:solidFill>
            <a:schemeClr val="tx1"/>
          </a:solidFill>
        </a:ln>
        <a:effectLst/>
      </c:spPr>
    </c:legend>
    <c:plotVisOnly val="1"/>
    <c:dispBlanksAs val="gap"/>
  </c:chart>
  <c:printSettings>
    <c:headerFooter/>
    <c:pageMargins b="0.75000000000000144" l="0.70000000000000062" r="0.70000000000000062" t="0.750000000000001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6955163947935642"/>
          <c:y val="1.6186956629530822E-2"/>
          <c:w val="0.80851568202298418"/>
          <c:h val="0.76936952239464362"/>
        </c:manualLayout>
      </c:layout>
      <c:scatterChart>
        <c:scatterStyle val="lineMarker"/>
        <c:ser>
          <c:idx val="0"/>
          <c:order val="0"/>
          <c:spPr>
            <a:ln w="28575">
              <a:noFill/>
            </a:ln>
          </c:spPr>
          <c:marker>
            <c:symbol val="diamond"/>
            <c:size val="10"/>
            <c:spPr>
              <a:solidFill>
                <a:srgbClr val="F79646"/>
              </a:solidFill>
            </c:spPr>
          </c:marker>
          <c:xVal>
            <c:numRef>
              <c:f>'OM603 Stock'!$D$22:$I$22</c:f>
              <c:numCache>
                <c:formatCode>0.0</c:formatCode>
                <c:ptCount val="6"/>
                <c:pt idx="0">
                  <c:v>9.9771252135925099</c:v>
                </c:pt>
                <c:pt idx="1">
                  <c:v>12.891725741292444</c:v>
                </c:pt>
                <c:pt idx="2">
                  <c:v>16.114657176615555</c:v>
                </c:pt>
                <c:pt idx="3">
                  <c:v>19.576324273814446</c:v>
                </c:pt>
                <c:pt idx="4">
                  <c:v>21.599609008211736</c:v>
                </c:pt>
                <c:pt idx="5">
                  <c:v>21.933838934837834</c:v>
                </c:pt>
              </c:numCache>
            </c:numRef>
          </c:xVal>
          <c:yVal>
            <c:numRef>
              <c:f>'OM603 Stock'!$E$8:$J$8</c:f>
              <c:numCache>
                <c:formatCode>General</c:formatCode>
                <c:ptCount val="6"/>
                <c:pt idx="0">
                  <c:v>1.7</c:v>
                </c:pt>
                <c:pt idx="1">
                  <c:v>1.92</c:v>
                </c:pt>
                <c:pt idx="2">
                  <c:v>1.92</c:v>
                </c:pt>
                <c:pt idx="3">
                  <c:v>1.92</c:v>
                </c:pt>
                <c:pt idx="4">
                  <c:v>1.92</c:v>
                </c:pt>
                <c:pt idx="5">
                  <c:v>1.92</c:v>
                </c:pt>
              </c:numCache>
            </c:numRef>
          </c:yVal>
        </c:ser>
        <c:axId val="62780160"/>
        <c:axId val="62782080"/>
      </c:scatterChart>
      <c:valAx>
        <c:axId val="62780160"/>
        <c:scaling>
          <c:orientation val="minMax"/>
          <c:max val="40"/>
          <c:min val="0"/>
        </c:scaling>
        <c:axPos val="b"/>
        <c:numFmt formatCode="0.0" sourceLinked="1"/>
        <c:tickLblPos val="none"/>
        <c:crossAx val="62782080"/>
        <c:crosses val="autoZero"/>
        <c:crossBetween val="midCat"/>
      </c:valAx>
      <c:valAx>
        <c:axId val="62782080"/>
        <c:scaling>
          <c:orientation val="minMax"/>
          <c:max val="3.2"/>
          <c:min val="1"/>
        </c:scaling>
        <c:axPos val="l"/>
        <c:majorGridlines/>
        <c:numFmt formatCode="General" sourceLinked="1"/>
        <c:tickLblPos val="none"/>
        <c:crossAx val="62780160"/>
        <c:crosses val="autoZero"/>
        <c:crossBetween val="midCat"/>
      </c:valAx>
      <c:spPr>
        <a:noFill/>
        <a:ln w="25400">
          <a:noFill/>
        </a:ln>
      </c:spPr>
    </c:plotArea>
    <c:plotVisOnly val="1"/>
    <c:dispBlanksAs val="gap"/>
  </c:chart>
  <c:spPr>
    <a:blipFill dpi="0" rotWithShape="1">
      <a:blip xmlns:r="http://schemas.openxmlformats.org/officeDocument/2006/relationships" r:embed="rId1"/>
      <a:srcRect/>
      <a:stretch>
        <a:fillRect/>
      </a:stretch>
    </a:blipFill>
  </c:spPr>
  <c:printSettings>
    <c:headerFooter/>
    <c:pageMargins b="0.75000000000000144" l="0.70000000000000062" r="0.70000000000000062" t="0.75000000000000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6955163947935642"/>
          <c:y val="1.8584059468231735E-2"/>
          <c:w val="0.80851568202298418"/>
          <c:h val="0.77499624269933987"/>
        </c:manualLayout>
      </c:layout>
      <c:scatterChart>
        <c:scatterStyle val="lineMarker"/>
        <c:ser>
          <c:idx val="0"/>
          <c:order val="0"/>
          <c:spPr>
            <a:ln w="28575">
              <a:noFill/>
            </a:ln>
          </c:spPr>
          <c:marker>
            <c:symbol val="diamond"/>
            <c:size val="10"/>
            <c:spPr>
              <a:solidFill>
                <a:schemeClr val="accent6"/>
              </a:solidFill>
            </c:spPr>
          </c:marker>
          <c:xVal>
            <c:numRef>
              <c:f>'OM603 Stock'!$D$22:$I$22</c:f>
              <c:numCache>
                <c:formatCode>0.0</c:formatCode>
                <c:ptCount val="6"/>
                <c:pt idx="0">
                  <c:v>9.9771252135925099</c:v>
                </c:pt>
                <c:pt idx="1">
                  <c:v>12.891725741292444</c:v>
                </c:pt>
                <c:pt idx="2">
                  <c:v>16.114657176615555</c:v>
                </c:pt>
                <c:pt idx="3">
                  <c:v>19.576324273814446</c:v>
                </c:pt>
                <c:pt idx="4">
                  <c:v>21.599609008211736</c:v>
                </c:pt>
                <c:pt idx="5">
                  <c:v>21.933838934837834</c:v>
                </c:pt>
              </c:numCache>
            </c:numRef>
          </c:xVal>
          <c:yVal>
            <c:numRef>
              <c:f>'OM603 Stock'!$E$8:$J$8</c:f>
              <c:numCache>
                <c:formatCode>General</c:formatCode>
                <c:ptCount val="6"/>
                <c:pt idx="0">
                  <c:v>1.7</c:v>
                </c:pt>
                <c:pt idx="1">
                  <c:v>1.92</c:v>
                </c:pt>
                <c:pt idx="2">
                  <c:v>1.92</c:v>
                </c:pt>
                <c:pt idx="3">
                  <c:v>1.92</c:v>
                </c:pt>
                <c:pt idx="4">
                  <c:v>1.92</c:v>
                </c:pt>
                <c:pt idx="5">
                  <c:v>1.92</c:v>
                </c:pt>
              </c:numCache>
            </c:numRef>
          </c:yVal>
        </c:ser>
        <c:axId val="63251584"/>
        <c:axId val="63253504"/>
      </c:scatterChart>
      <c:valAx>
        <c:axId val="63251584"/>
        <c:scaling>
          <c:orientation val="minMax"/>
          <c:max val="40"/>
          <c:min val="0"/>
        </c:scaling>
        <c:axPos val="b"/>
        <c:numFmt formatCode="0.0" sourceLinked="1"/>
        <c:tickLblPos val="none"/>
        <c:crossAx val="63253504"/>
        <c:crosses val="autoZero"/>
        <c:crossBetween val="midCat"/>
      </c:valAx>
      <c:valAx>
        <c:axId val="63253504"/>
        <c:scaling>
          <c:orientation val="minMax"/>
          <c:max val="3"/>
          <c:min val="1"/>
        </c:scaling>
        <c:axPos val="l"/>
        <c:majorGridlines/>
        <c:numFmt formatCode="General" sourceLinked="1"/>
        <c:tickLblPos val="none"/>
        <c:crossAx val="63251584"/>
        <c:crosses val="autoZero"/>
        <c:crossBetween val="midCat"/>
      </c:valAx>
      <c:spPr>
        <a:noFill/>
        <a:ln w="25400">
          <a:noFill/>
        </a:ln>
      </c:spPr>
    </c:plotArea>
    <c:plotVisOnly val="1"/>
    <c:dispBlanksAs val="gap"/>
  </c:chart>
  <c:spPr>
    <a:blipFill dpi="0" rotWithShape="1">
      <a:blip xmlns:r="http://schemas.openxmlformats.org/officeDocument/2006/relationships" r:embed="rId1"/>
      <a:srcRect/>
      <a:stretch>
        <a:fillRect/>
      </a:stretch>
    </a:blipFill>
  </c:spPr>
  <c:printSettings>
    <c:headerFooter/>
    <c:pageMargins b="0.75000000000000167" l="0.70000000000000062" r="0.70000000000000062" t="0.7500000000000016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7642649666649543"/>
          <c:y val="0.17106438136199875"/>
          <c:w val="0.73334009192584571"/>
          <c:h val="0.73069674096656045"/>
        </c:manualLayout>
      </c:layout>
      <c:scatterChart>
        <c:scatterStyle val="lineMarker"/>
        <c:ser>
          <c:idx val="0"/>
          <c:order val="0"/>
          <c:spPr>
            <a:ln w="28575">
              <a:noFill/>
            </a:ln>
          </c:spPr>
          <c:marker>
            <c:symbol val="diamond"/>
            <c:size val="10"/>
            <c:spPr>
              <a:solidFill>
                <a:srgbClr val="F79646"/>
              </a:solidFill>
            </c:spPr>
          </c:marker>
          <c:xVal>
            <c:numRef>
              <c:f>'OM603 Stock'!$D$22:$I$22</c:f>
              <c:numCache>
                <c:formatCode>0.0</c:formatCode>
                <c:ptCount val="6"/>
                <c:pt idx="0">
                  <c:v>9.9771252135925099</c:v>
                </c:pt>
                <c:pt idx="1">
                  <c:v>12.891725741292444</c:v>
                </c:pt>
                <c:pt idx="2">
                  <c:v>16.114657176615555</c:v>
                </c:pt>
                <c:pt idx="3">
                  <c:v>19.576324273814446</c:v>
                </c:pt>
                <c:pt idx="4">
                  <c:v>21.599609008211736</c:v>
                </c:pt>
                <c:pt idx="5">
                  <c:v>21.933838934837834</c:v>
                </c:pt>
              </c:numCache>
            </c:numRef>
          </c:xVal>
          <c:yVal>
            <c:numRef>
              <c:f>'OM603 Stock'!$E$8:$J$8</c:f>
              <c:numCache>
                <c:formatCode>General</c:formatCode>
                <c:ptCount val="6"/>
                <c:pt idx="0">
                  <c:v>1.7</c:v>
                </c:pt>
                <c:pt idx="1">
                  <c:v>1.92</c:v>
                </c:pt>
                <c:pt idx="2">
                  <c:v>1.92</c:v>
                </c:pt>
                <c:pt idx="3">
                  <c:v>1.92</c:v>
                </c:pt>
                <c:pt idx="4">
                  <c:v>1.92</c:v>
                </c:pt>
                <c:pt idx="5">
                  <c:v>1.92</c:v>
                </c:pt>
              </c:numCache>
            </c:numRef>
          </c:yVal>
        </c:ser>
        <c:axId val="63280640"/>
        <c:axId val="63282560"/>
      </c:scatterChart>
      <c:valAx>
        <c:axId val="63280640"/>
        <c:scaling>
          <c:orientation val="minMax"/>
          <c:max val="35"/>
          <c:min val="0"/>
        </c:scaling>
        <c:axPos val="b"/>
        <c:numFmt formatCode="0.0" sourceLinked="1"/>
        <c:tickLblPos val="none"/>
        <c:crossAx val="63282560"/>
        <c:crosses val="autoZero"/>
        <c:crossBetween val="midCat"/>
      </c:valAx>
      <c:valAx>
        <c:axId val="63282560"/>
        <c:scaling>
          <c:orientation val="minMax"/>
          <c:max val="3.2"/>
          <c:min val="1"/>
        </c:scaling>
        <c:axPos val="l"/>
        <c:majorGridlines/>
        <c:numFmt formatCode="General" sourceLinked="1"/>
        <c:tickLblPos val="none"/>
        <c:crossAx val="63280640"/>
        <c:crosses val="autoZero"/>
        <c:crossBetween val="midCat"/>
      </c:valAx>
      <c:spPr>
        <a:noFill/>
        <a:ln w="25400">
          <a:noFill/>
        </a:ln>
      </c:spPr>
    </c:plotArea>
    <c:plotVisOnly val="1"/>
    <c:dispBlanksAs val="gap"/>
  </c:chart>
  <c:spPr>
    <a:blipFill dpi="0" rotWithShape="1">
      <a:blip xmlns:r="http://schemas.openxmlformats.org/officeDocument/2006/relationships" r:embed="rId1"/>
      <a:srcRect/>
      <a:stretch>
        <a:fillRect/>
      </a:stretch>
    </a:blipFill>
  </c:spPr>
  <c:printSettings>
    <c:headerFooter/>
    <c:pageMargins b="0.75000000000000167" l="0.70000000000000062" r="0.70000000000000062" t="0.75000000000000167"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9.7988945484202797E-2"/>
          <c:y val="7.6800228356141101E-2"/>
          <c:w val="0.83219832856220655"/>
          <c:h val="0.84436814440267949"/>
        </c:manualLayout>
      </c:layout>
      <c:scatterChart>
        <c:scatterStyle val="lineMarker"/>
        <c:ser>
          <c:idx val="0"/>
          <c:order val="0"/>
          <c:spPr>
            <a:ln w="28575">
              <a:noFill/>
            </a:ln>
          </c:spPr>
          <c:marker>
            <c:symbol val="diamond"/>
            <c:size val="10"/>
            <c:spPr>
              <a:solidFill>
                <a:srgbClr val="F79646"/>
              </a:solidFill>
            </c:spPr>
          </c:marker>
          <c:xVal>
            <c:numRef>
              <c:f>'OM603 Stock'!$D$22:$I$22</c:f>
              <c:numCache>
                <c:formatCode>0.0</c:formatCode>
                <c:ptCount val="6"/>
                <c:pt idx="0">
                  <c:v>9.9771252135925099</c:v>
                </c:pt>
                <c:pt idx="1">
                  <c:v>12.891725741292444</c:v>
                </c:pt>
                <c:pt idx="2">
                  <c:v>16.114657176615555</c:v>
                </c:pt>
                <c:pt idx="3">
                  <c:v>19.576324273814446</c:v>
                </c:pt>
                <c:pt idx="4">
                  <c:v>21.599609008211736</c:v>
                </c:pt>
                <c:pt idx="5">
                  <c:v>21.933838934837834</c:v>
                </c:pt>
              </c:numCache>
            </c:numRef>
          </c:xVal>
          <c:yVal>
            <c:numRef>
              <c:f>'OM603 Stock'!$E$8:$J$8</c:f>
              <c:numCache>
                <c:formatCode>General</c:formatCode>
                <c:ptCount val="6"/>
                <c:pt idx="0">
                  <c:v>1.7</c:v>
                </c:pt>
                <c:pt idx="1">
                  <c:v>1.92</c:v>
                </c:pt>
                <c:pt idx="2">
                  <c:v>1.92</c:v>
                </c:pt>
                <c:pt idx="3">
                  <c:v>1.92</c:v>
                </c:pt>
                <c:pt idx="4">
                  <c:v>1.92</c:v>
                </c:pt>
                <c:pt idx="5">
                  <c:v>1.92</c:v>
                </c:pt>
              </c:numCache>
            </c:numRef>
          </c:yVal>
        </c:ser>
        <c:axId val="63313792"/>
        <c:axId val="63332352"/>
      </c:scatterChart>
      <c:valAx>
        <c:axId val="63313792"/>
        <c:scaling>
          <c:orientation val="minMax"/>
          <c:max val="40"/>
          <c:min val="0"/>
        </c:scaling>
        <c:axPos val="b"/>
        <c:numFmt formatCode="0.0" sourceLinked="1"/>
        <c:tickLblPos val="none"/>
        <c:crossAx val="63332352"/>
        <c:crosses val="autoZero"/>
        <c:crossBetween val="midCat"/>
      </c:valAx>
      <c:valAx>
        <c:axId val="63332352"/>
        <c:scaling>
          <c:orientation val="minMax"/>
          <c:max val="4"/>
          <c:min val="1"/>
        </c:scaling>
        <c:axPos val="l"/>
        <c:majorGridlines/>
        <c:numFmt formatCode="General" sourceLinked="1"/>
        <c:tickLblPos val="none"/>
        <c:crossAx val="63313792"/>
        <c:crosses val="autoZero"/>
        <c:crossBetween val="midCat"/>
      </c:valAx>
      <c:spPr>
        <a:noFill/>
        <a:ln w="25400">
          <a:noFill/>
        </a:ln>
      </c:spPr>
    </c:plotArea>
    <c:plotVisOnly val="1"/>
    <c:dispBlanksAs val="gap"/>
  </c:chart>
  <c:spPr>
    <a:blipFill dpi="0" rotWithShape="1">
      <a:blip xmlns:r="http://schemas.openxmlformats.org/officeDocument/2006/relationships" r:embed="rId1"/>
      <a:srcRect/>
      <a:stretch>
        <a:fillRect/>
      </a:stretch>
    </a:blipFill>
  </c:spPr>
  <c:printSettings>
    <c:headerFooter/>
    <c:pageMargins b="0.75000000000000189" l="0.70000000000000062" r="0.70000000000000062" t="0.7500000000000018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HP and Torque</a:t>
            </a:r>
          </a:p>
        </c:rich>
      </c:tx>
      <c:layout>
        <c:manualLayout>
          <c:xMode val="edge"/>
          <c:yMode val="edge"/>
          <c:x val="0.38088209166161996"/>
          <c:y val="1.491242962659408E-2"/>
        </c:manualLayout>
      </c:layout>
      <c:spPr>
        <a:noFill/>
        <a:effectLst/>
      </c:spPr>
    </c:title>
    <c:plotArea>
      <c:layout>
        <c:manualLayout>
          <c:layoutTarget val="inner"/>
          <c:xMode val="edge"/>
          <c:yMode val="edge"/>
          <c:x val="0.10197076658521149"/>
          <c:y val="0.14087409454856295"/>
          <c:w val="0.86713842881708769"/>
          <c:h val="0.70875139582479663"/>
        </c:manualLayout>
      </c:layout>
      <c:lineChart>
        <c:grouping val="standard"/>
        <c:ser>
          <c:idx val="0"/>
          <c:order val="0"/>
          <c:tx>
            <c:v>Power (HP)</c:v>
          </c:tx>
          <c:marker>
            <c:symbol val="circle"/>
            <c:size val="5"/>
          </c:marker>
          <c:cat>
            <c:numRef>
              <c:f>'OM603 Stock'!$E$6:$J$6</c:f>
              <c:numCache>
                <c:formatCode>General</c:formatCode>
                <c:ptCount val="6"/>
                <c:pt idx="0">
                  <c:v>1900</c:v>
                </c:pt>
                <c:pt idx="1">
                  <c:v>2400</c:v>
                </c:pt>
                <c:pt idx="2">
                  <c:v>3000</c:v>
                </c:pt>
                <c:pt idx="3">
                  <c:v>4000</c:v>
                </c:pt>
                <c:pt idx="4">
                  <c:v>4700</c:v>
                </c:pt>
                <c:pt idx="5">
                  <c:v>5250</c:v>
                </c:pt>
              </c:numCache>
            </c:numRef>
          </c:cat>
          <c:val>
            <c:numRef>
              <c:f>'OM603 Stock'!$D$17:$I$17</c:f>
              <c:numCache>
                <c:formatCode>0</c:formatCode>
                <c:ptCount val="6"/>
                <c:pt idx="0">
                  <c:v>70.987796087021209</c:v>
                </c:pt>
                <c:pt idx="1">
                  <c:v>91.725339568345063</c:v>
                </c:pt>
                <c:pt idx="2">
                  <c:v>114.65667446043135</c:v>
                </c:pt>
                <c:pt idx="3">
                  <c:v>139.28662675193135</c:v>
                </c:pt>
                <c:pt idx="4">
                  <c:v>148.33693410893855</c:v>
                </c:pt>
                <c:pt idx="5">
                  <c:v>138.58170053117468</c:v>
                </c:pt>
              </c:numCache>
            </c:numRef>
          </c:val>
        </c:ser>
        <c:ser>
          <c:idx val="1"/>
          <c:order val="1"/>
          <c:tx>
            <c:v>Torque (lb/ft)</c:v>
          </c:tx>
          <c:marker>
            <c:symbol val="circle"/>
            <c:size val="5"/>
          </c:marker>
          <c:cat>
            <c:numRef>
              <c:f>'OM603 Stock'!$E$6:$J$6</c:f>
              <c:numCache>
                <c:formatCode>General</c:formatCode>
                <c:ptCount val="6"/>
                <c:pt idx="0">
                  <c:v>1900</c:v>
                </c:pt>
                <c:pt idx="1">
                  <c:v>2400</c:v>
                </c:pt>
                <c:pt idx="2">
                  <c:v>3000</c:v>
                </c:pt>
                <c:pt idx="3">
                  <c:v>4000</c:v>
                </c:pt>
                <c:pt idx="4">
                  <c:v>4700</c:v>
                </c:pt>
                <c:pt idx="5">
                  <c:v>5250</c:v>
                </c:pt>
              </c:numCache>
            </c:numRef>
          </c:cat>
          <c:val>
            <c:numRef>
              <c:f>'OM603 Stock'!$D$18:$I$18</c:f>
              <c:numCache>
                <c:formatCode>0</c:formatCode>
                <c:ptCount val="6"/>
                <c:pt idx="0">
                  <c:v>196.22521318370283</c:v>
                </c:pt>
                <c:pt idx="1">
                  <c:v>200.72561808872845</c:v>
                </c:pt>
                <c:pt idx="2">
                  <c:v>200.72561808872848</c:v>
                </c:pt>
                <c:pt idx="3">
                  <c:v>182.88334092528586</c:v>
                </c:pt>
                <c:pt idx="4">
                  <c:v>165.75863360428622</c:v>
                </c:pt>
                <c:pt idx="5">
                  <c:v>138.63449355994845</c:v>
                </c:pt>
              </c:numCache>
            </c:numRef>
          </c:val>
        </c:ser>
        <c:marker val="1"/>
        <c:axId val="63352192"/>
        <c:axId val="63366272"/>
      </c:lineChart>
      <c:catAx>
        <c:axId val="63352192"/>
        <c:scaling>
          <c:orientation val="minMax"/>
        </c:scaling>
        <c:axPos val="b"/>
        <c:numFmt formatCode="General" sourceLinked="1"/>
        <c:tickLblPos val="nextTo"/>
        <c:crossAx val="63366272"/>
        <c:crosses val="autoZero"/>
        <c:auto val="1"/>
        <c:lblAlgn val="ctr"/>
        <c:lblOffset val="100"/>
      </c:catAx>
      <c:valAx>
        <c:axId val="63366272"/>
        <c:scaling>
          <c:orientation val="minMax"/>
        </c:scaling>
        <c:axPos val="l"/>
        <c:majorGridlines/>
        <c:numFmt formatCode="0" sourceLinked="1"/>
        <c:tickLblPos val="nextTo"/>
        <c:crossAx val="63352192"/>
        <c:crosses val="autoZero"/>
        <c:crossBetween val="between"/>
      </c:valAx>
    </c:plotArea>
    <c:legend>
      <c:legendPos val="r"/>
      <c:layout>
        <c:manualLayout>
          <c:xMode val="edge"/>
          <c:yMode val="edge"/>
          <c:x val="0.76058489804159179"/>
          <c:y val="0.59254983461639854"/>
          <c:w val="0.20777780920076988"/>
          <c:h val="0.18720479866049672"/>
        </c:manualLayout>
      </c:layout>
      <c:spPr>
        <a:solidFill>
          <a:sysClr val="window" lastClr="FFFFFF">
            <a:lumMod val="95000"/>
          </a:sysClr>
        </a:solidFill>
        <a:ln>
          <a:solidFill>
            <a:sysClr val="windowText" lastClr="000000"/>
          </a:solidFill>
        </a:ln>
        <a:effectLst/>
      </c:spPr>
    </c:legend>
    <c:plotVisOnly val="1"/>
    <c:dispBlanksAs val="gap"/>
  </c:chart>
  <c:printSettings>
    <c:headerFooter/>
    <c:pageMargins b="0.75000000000000078" l="0.70000000000000062" r="0.70000000000000062" t="0.75000000000000078"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Boost Pressure (psig)</a:t>
            </a:r>
          </a:p>
        </c:rich>
      </c:tx>
      <c:layout>
        <c:manualLayout>
          <c:xMode val="edge"/>
          <c:yMode val="edge"/>
          <c:x val="0.32064309528876489"/>
          <c:y val="4.9709564992900575E-3"/>
        </c:manualLayout>
      </c:layout>
    </c:title>
    <c:plotArea>
      <c:layout>
        <c:manualLayout>
          <c:layoutTarget val="inner"/>
          <c:xMode val="edge"/>
          <c:yMode val="edge"/>
          <c:x val="0.10197076658521154"/>
          <c:y val="0.18836519164733004"/>
          <c:w val="0.86713842881708769"/>
          <c:h val="0.63626903484432962"/>
        </c:manualLayout>
      </c:layout>
      <c:lineChart>
        <c:grouping val="standard"/>
        <c:ser>
          <c:idx val="0"/>
          <c:order val="0"/>
          <c:tx>
            <c:v>Total</c:v>
          </c:tx>
          <c:cat>
            <c:numRef>
              <c:f>'OM603 Stock'!$E$6:$J$6</c:f>
              <c:numCache>
                <c:formatCode>General</c:formatCode>
                <c:ptCount val="6"/>
                <c:pt idx="0">
                  <c:v>1900</c:v>
                </c:pt>
                <c:pt idx="1">
                  <c:v>2400</c:v>
                </c:pt>
                <c:pt idx="2">
                  <c:v>3000</c:v>
                </c:pt>
                <c:pt idx="3">
                  <c:v>4000</c:v>
                </c:pt>
                <c:pt idx="4">
                  <c:v>4700</c:v>
                </c:pt>
                <c:pt idx="5">
                  <c:v>5250</c:v>
                </c:pt>
              </c:numCache>
            </c:numRef>
          </c:cat>
          <c:val>
            <c:numRef>
              <c:f>'OM603 Stock'!$D$20:$I$20</c:f>
              <c:numCache>
                <c:formatCode>0.0</c:formatCode>
                <c:ptCount val="6"/>
                <c:pt idx="0">
                  <c:v>9.1829999999999981</c:v>
                </c:pt>
                <c:pt idx="1">
                  <c:v>12.304799999999998</c:v>
                </c:pt>
                <c:pt idx="2">
                  <c:v>12.304799999999998</c:v>
                </c:pt>
                <c:pt idx="3">
                  <c:v>12.304799999999998</c:v>
                </c:pt>
                <c:pt idx="4">
                  <c:v>12.304799999999998</c:v>
                </c:pt>
                <c:pt idx="5">
                  <c:v>12.304799999999998</c:v>
                </c:pt>
              </c:numCache>
            </c:numRef>
          </c:val>
        </c:ser>
        <c:ser>
          <c:idx val="1"/>
          <c:order val="1"/>
          <c:tx>
            <c:v>LP Turbo</c:v>
          </c:tx>
          <c:cat>
            <c:numRef>
              <c:f>'OM603 Stock'!$E$6:$J$6</c:f>
              <c:numCache>
                <c:formatCode>General</c:formatCode>
                <c:ptCount val="6"/>
                <c:pt idx="0">
                  <c:v>1900</c:v>
                </c:pt>
                <c:pt idx="1">
                  <c:v>2400</c:v>
                </c:pt>
                <c:pt idx="2">
                  <c:v>3000</c:v>
                </c:pt>
                <c:pt idx="3">
                  <c:v>4000</c:v>
                </c:pt>
                <c:pt idx="4">
                  <c:v>4700</c:v>
                </c:pt>
                <c:pt idx="5">
                  <c:v>5250</c:v>
                </c:pt>
              </c:numCache>
            </c:numRef>
          </c:cat>
          <c:val>
            <c:numRef>
              <c:f>'OM603 Stock'!$D$72:$I$72</c:f>
              <c:numCache>
                <c:formatCode>0.0</c:formatCode>
                <c:ptCount val="6"/>
                <c:pt idx="0">
                  <c:v>0</c:v>
                </c:pt>
                <c:pt idx="1">
                  <c:v>0</c:v>
                </c:pt>
                <c:pt idx="2">
                  <c:v>0</c:v>
                </c:pt>
                <c:pt idx="3">
                  <c:v>0</c:v>
                </c:pt>
                <c:pt idx="4">
                  <c:v>0</c:v>
                </c:pt>
                <c:pt idx="5">
                  <c:v>0</c:v>
                </c:pt>
              </c:numCache>
            </c:numRef>
          </c:val>
        </c:ser>
        <c:ser>
          <c:idx val="2"/>
          <c:order val="2"/>
          <c:tx>
            <c:v>HP Turbo</c:v>
          </c:tx>
          <c:cat>
            <c:numRef>
              <c:f>'OM603 Stock'!$E$6:$J$6</c:f>
              <c:numCache>
                <c:formatCode>General</c:formatCode>
                <c:ptCount val="6"/>
                <c:pt idx="0">
                  <c:v>1900</c:v>
                </c:pt>
                <c:pt idx="1">
                  <c:v>2400</c:v>
                </c:pt>
                <c:pt idx="2">
                  <c:v>3000</c:v>
                </c:pt>
                <c:pt idx="3">
                  <c:v>4000</c:v>
                </c:pt>
                <c:pt idx="4">
                  <c:v>4700</c:v>
                </c:pt>
                <c:pt idx="5">
                  <c:v>5250</c:v>
                </c:pt>
              </c:numCache>
            </c:numRef>
          </c:cat>
          <c:val>
            <c:numRef>
              <c:f>'OM603 Stock'!$D$73:$I$73</c:f>
              <c:numCache>
                <c:formatCode>0.0</c:formatCode>
                <c:ptCount val="6"/>
                <c:pt idx="0">
                  <c:v>10.282999999999999</c:v>
                </c:pt>
                <c:pt idx="1">
                  <c:v>13.514799999999999</c:v>
                </c:pt>
                <c:pt idx="2">
                  <c:v>13.514799999999999</c:v>
                </c:pt>
                <c:pt idx="3">
                  <c:v>13.514799999999999</c:v>
                </c:pt>
                <c:pt idx="4">
                  <c:v>13.514799999999999</c:v>
                </c:pt>
                <c:pt idx="5">
                  <c:v>13.514799999999999</c:v>
                </c:pt>
              </c:numCache>
            </c:numRef>
          </c:val>
        </c:ser>
        <c:marker val="1"/>
        <c:axId val="63462016"/>
        <c:axId val="63467904"/>
      </c:lineChart>
      <c:catAx>
        <c:axId val="63462016"/>
        <c:scaling>
          <c:orientation val="minMax"/>
        </c:scaling>
        <c:axPos val="b"/>
        <c:numFmt formatCode="General" sourceLinked="1"/>
        <c:tickLblPos val="nextTo"/>
        <c:crossAx val="63467904"/>
        <c:crosses val="autoZero"/>
        <c:auto val="1"/>
        <c:lblAlgn val="ctr"/>
        <c:lblOffset val="100"/>
      </c:catAx>
      <c:valAx>
        <c:axId val="63467904"/>
        <c:scaling>
          <c:orientation val="minMax"/>
        </c:scaling>
        <c:axPos val="l"/>
        <c:majorGridlines/>
        <c:numFmt formatCode="0.0" sourceLinked="1"/>
        <c:tickLblPos val="nextTo"/>
        <c:crossAx val="63462016"/>
        <c:crosses val="autoZero"/>
        <c:crossBetween val="between"/>
      </c:valAx>
    </c:plotArea>
    <c:legend>
      <c:legendPos val="r"/>
      <c:layout>
        <c:manualLayout>
          <c:xMode val="edge"/>
          <c:yMode val="edge"/>
          <c:x val="0.7100900382036559"/>
          <c:y val="0.47560253767776167"/>
          <c:w val="0.23952944086940464"/>
          <c:h val="0.31936491545114287"/>
        </c:manualLayout>
      </c:layout>
      <c:spPr>
        <a:solidFill>
          <a:schemeClr val="bg1">
            <a:lumMod val="95000"/>
          </a:schemeClr>
        </a:solidFill>
        <a:ln>
          <a:solidFill>
            <a:schemeClr val="tx1"/>
          </a:solidFill>
        </a:ln>
        <a:effectLst/>
      </c:spPr>
    </c:legend>
    <c:plotVisOnly val="1"/>
    <c:dispBlanksAs val="gap"/>
  </c:chart>
  <c:printSettings>
    <c:headerFooter/>
    <c:pageMargins b="0.750000000000001" l="0.70000000000000062" r="0.70000000000000062" t="0.75000000000000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8314898650200867"/>
          <c:y val="6.4379745898315577E-2"/>
          <c:w val="0.76433647428137363"/>
          <c:h val="0.75003133786168963"/>
        </c:manualLayout>
      </c:layout>
      <c:scatterChart>
        <c:scatterStyle val="lineMarker"/>
        <c:ser>
          <c:idx val="0"/>
          <c:order val="0"/>
          <c:spPr>
            <a:ln w="28575">
              <a:noFill/>
            </a:ln>
          </c:spPr>
          <c:marker>
            <c:symbol val="diamond"/>
            <c:size val="10"/>
            <c:spPr>
              <a:solidFill>
                <a:srgbClr val="F79646"/>
              </a:solidFill>
            </c:spPr>
          </c:marker>
          <c:xVal>
            <c:numRef>
              <c:f>'OM603 Aftercooled'!$D$22:$I$22</c:f>
              <c:numCache>
                <c:formatCode>0.0</c:formatCode>
                <c:ptCount val="6"/>
                <c:pt idx="0">
                  <c:v>11.390200287153347</c:v>
                </c:pt>
                <c:pt idx="1">
                  <c:v>15.167412396916376</c:v>
                </c:pt>
                <c:pt idx="2">
                  <c:v>18.959265496145473</c:v>
                </c:pt>
                <c:pt idx="3">
                  <c:v>23.031996602724867</c:v>
                </c:pt>
                <c:pt idx="4">
                  <c:v>25.41243771501869</c:v>
                </c:pt>
                <c:pt idx="5">
                  <c:v>25.805666925309112</c:v>
                </c:pt>
              </c:numCache>
            </c:numRef>
          </c:xVal>
          <c:yVal>
            <c:numRef>
              <c:f>'OM603 Aftercooled'!$E$8:$J$8</c:f>
              <c:numCache>
                <c:formatCode>General</c:formatCode>
                <c:ptCount val="6"/>
                <c:pt idx="0">
                  <c:v>1.7</c:v>
                </c:pt>
                <c:pt idx="1">
                  <c:v>1.92</c:v>
                </c:pt>
                <c:pt idx="2">
                  <c:v>1.92</c:v>
                </c:pt>
                <c:pt idx="3">
                  <c:v>1.92</c:v>
                </c:pt>
                <c:pt idx="4">
                  <c:v>1.92</c:v>
                </c:pt>
                <c:pt idx="5">
                  <c:v>1.92</c:v>
                </c:pt>
              </c:numCache>
            </c:numRef>
          </c:yVal>
        </c:ser>
        <c:axId val="63402368"/>
        <c:axId val="63404288"/>
      </c:scatterChart>
      <c:valAx>
        <c:axId val="63402368"/>
        <c:scaling>
          <c:orientation val="minMax"/>
          <c:max val="35"/>
          <c:min val="0"/>
        </c:scaling>
        <c:axPos val="b"/>
        <c:numFmt formatCode="0.0" sourceLinked="1"/>
        <c:tickLblPos val="none"/>
        <c:crossAx val="63404288"/>
        <c:crosses val="autoZero"/>
        <c:crossBetween val="midCat"/>
      </c:valAx>
      <c:valAx>
        <c:axId val="63404288"/>
        <c:scaling>
          <c:orientation val="minMax"/>
          <c:max val="3.2"/>
          <c:min val="1"/>
        </c:scaling>
        <c:axPos val="l"/>
        <c:majorGridlines/>
        <c:numFmt formatCode="General" sourceLinked="1"/>
        <c:tickLblPos val="none"/>
        <c:crossAx val="63402368"/>
        <c:crosses val="autoZero"/>
        <c:crossBetween val="midCat"/>
      </c:valAx>
      <c:spPr>
        <a:noFill/>
        <a:ln w="25400">
          <a:noFill/>
        </a:ln>
      </c:spPr>
    </c:plotArea>
    <c:plotVisOnly val="1"/>
    <c:dispBlanksAs val="gap"/>
  </c:chart>
  <c:spPr>
    <a:blipFill dpi="0" rotWithShape="1">
      <a:blip xmlns:r="http://schemas.openxmlformats.org/officeDocument/2006/relationships" r:embed="rId1"/>
      <a:srcRect/>
      <a:stretch>
        <a:fillRect t="5000" r="3000"/>
      </a:stretch>
    </a:blipFill>
  </c:spPr>
  <c:printSettings>
    <c:headerFooter/>
    <c:pageMargins b="0.75000000000000144" l="0.70000000000000062" r="0.70000000000000062" t="0.75000000000000144"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image" Target="../media/image7.png"/></Relationships>
</file>

<file path=xl/drawings/_rels/drawing2.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_rels/drawing3.xml.rels><?xml version="1.0" encoding="UTF-8" standalone="yes"?>
<Relationships xmlns="http://schemas.openxmlformats.org/package/2006/relationships"><Relationship Id="rId8" Type="http://schemas.openxmlformats.org/officeDocument/2006/relationships/chart" Target="../charts/chart24.xml"/><Relationship Id="rId3" Type="http://schemas.openxmlformats.org/officeDocument/2006/relationships/chart" Target="../charts/chart19.xml"/><Relationship Id="rId7" Type="http://schemas.openxmlformats.org/officeDocument/2006/relationships/chart" Target="../charts/chart23.xml"/><Relationship Id="rId2" Type="http://schemas.openxmlformats.org/officeDocument/2006/relationships/chart" Target="../charts/chart18.xml"/><Relationship Id="rId1" Type="http://schemas.openxmlformats.org/officeDocument/2006/relationships/chart" Target="../charts/chart17.xml"/><Relationship Id="rId6" Type="http://schemas.openxmlformats.org/officeDocument/2006/relationships/chart" Target="../charts/chart22.xml"/><Relationship Id="rId5" Type="http://schemas.openxmlformats.org/officeDocument/2006/relationships/chart" Target="../charts/chart21.xml"/><Relationship Id="rId4" Type="http://schemas.openxmlformats.org/officeDocument/2006/relationships/chart" Target="../charts/chart20.xml"/></Relationships>
</file>

<file path=xl/drawings/drawing1.xml><?xml version="1.0" encoding="utf-8"?>
<xdr:wsDr xmlns:xdr="http://schemas.openxmlformats.org/drawingml/2006/spreadsheetDrawing" xmlns:a="http://schemas.openxmlformats.org/drawingml/2006/main">
  <xdr:twoCellAnchor>
    <xdr:from>
      <xdr:col>11</xdr:col>
      <xdr:colOff>148076</xdr:colOff>
      <xdr:row>59</xdr:row>
      <xdr:rowOff>100853</xdr:rowOff>
    </xdr:from>
    <xdr:to>
      <xdr:col>18</xdr:col>
      <xdr:colOff>112058</xdr:colOff>
      <xdr:row>80</xdr:row>
      <xdr:rowOff>170570</xdr:rowOff>
    </xdr:to>
    <xdr:graphicFrame macro="">
      <xdr:nvGraphicFramePr>
        <xdr:cNvPr id="105087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295835</xdr:colOff>
      <xdr:row>8</xdr:row>
      <xdr:rowOff>110939</xdr:rowOff>
    </xdr:from>
    <xdr:to>
      <xdr:col>21</xdr:col>
      <xdr:colOff>56029</xdr:colOff>
      <xdr:row>35</xdr:row>
      <xdr:rowOff>201705</xdr:rowOff>
    </xdr:to>
    <xdr:graphicFrame macro="">
      <xdr:nvGraphicFramePr>
        <xdr:cNvPr id="105087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168648</xdr:colOff>
      <xdr:row>39</xdr:row>
      <xdr:rowOff>100853</xdr:rowOff>
    </xdr:from>
    <xdr:to>
      <xdr:col>18</xdr:col>
      <xdr:colOff>44822</xdr:colOff>
      <xdr:row>58</xdr:row>
      <xdr:rowOff>78441</xdr:rowOff>
    </xdr:to>
    <xdr:graphicFrame macro="">
      <xdr:nvGraphicFramePr>
        <xdr:cNvPr id="105088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291352</xdr:colOff>
      <xdr:row>39</xdr:row>
      <xdr:rowOff>100852</xdr:rowOff>
    </xdr:from>
    <xdr:to>
      <xdr:col>25</xdr:col>
      <xdr:colOff>100852</xdr:colOff>
      <xdr:row>59</xdr:row>
      <xdr:rowOff>44823</xdr:rowOff>
    </xdr:to>
    <xdr:graphicFrame macro="">
      <xdr:nvGraphicFramePr>
        <xdr:cNvPr id="1050881"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xdr:col>
      <xdr:colOff>9881</xdr:colOff>
      <xdr:row>62</xdr:row>
      <xdr:rowOff>108339</xdr:rowOff>
    </xdr:from>
    <xdr:to>
      <xdr:col>25</xdr:col>
      <xdr:colOff>281622</xdr:colOff>
      <xdr:row>86</xdr:row>
      <xdr:rowOff>70239</xdr:rowOff>
    </xdr:to>
    <xdr:graphicFrame macro="">
      <xdr:nvGraphicFramePr>
        <xdr:cNvPr id="1050882"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25</xdr:col>
      <xdr:colOff>600025</xdr:colOff>
      <xdr:row>41</xdr:row>
      <xdr:rowOff>82211</xdr:rowOff>
    </xdr:from>
    <xdr:to>
      <xdr:col>32</xdr:col>
      <xdr:colOff>48134</xdr:colOff>
      <xdr:row>65</xdr:row>
      <xdr:rowOff>158411</xdr:rowOff>
    </xdr:to>
    <xdr:graphicFrame macro="">
      <xdr:nvGraphicFramePr>
        <xdr:cNvPr id="1050883"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324971</xdr:colOff>
      <xdr:row>26</xdr:row>
      <xdr:rowOff>145675</xdr:rowOff>
    </xdr:from>
    <xdr:to>
      <xdr:col>10</xdr:col>
      <xdr:colOff>336177</xdr:colOff>
      <xdr:row>36</xdr:row>
      <xdr:rowOff>190499</xdr:rowOff>
    </xdr:to>
    <xdr:graphicFrame macro="">
      <xdr:nvGraphicFramePr>
        <xdr:cNvPr id="1050884"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13</xdr:col>
      <xdr:colOff>76760</xdr:colOff>
      <xdr:row>0</xdr:row>
      <xdr:rowOff>168088</xdr:rowOff>
    </xdr:from>
    <xdr:to>
      <xdr:col>19</xdr:col>
      <xdr:colOff>536763</xdr:colOff>
      <xdr:row>6</xdr:row>
      <xdr:rowOff>107578</xdr:rowOff>
    </xdr:to>
    <xdr:graphicFrame macro="">
      <xdr:nvGraphicFramePr>
        <xdr:cNvPr id="1050885"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22</xdr:col>
      <xdr:colOff>449036</xdr:colOff>
      <xdr:row>0</xdr:row>
      <xdr:rowOff>190501</xdr:rowOff>
    </xdr:from>
    <xdr:to>
      <xdr:col>29</xdr:col>
      <xdr:colOff>159204</xdr:colOff>
      <xdr:row>36</xdr:row>
      <xdr:rowOff>104856</xdr:rowOff>
    </xdr:to>
    <xdr:pic>
      <xdr:nvPicPr>
        <xdr:cNvPr id="10" name="Picture 1"/>
        <xdr:cNvPicPr>
          <a:picLocks noChangeAspect="1" noChangeArrowheads="1"/>
        </xdr:cNvPicPr>
      </xdr:nvPicPr>
      <xdr:blipFill>
        <a:blip xmlns:r="http://schemas.openxmlformats.org/officeDocument/2006/relationships" r:embed="rId9" cstate="print"/>
        <a:srcRect/>
        <a:stretch>
          <a:fillRect/>
        </a:stretch>
      </xdr:blipFill>
      <xdr:spPr bwMode="auto">
        <a:xfrm>
          <a:off x="13688786" y="190501"/>
          <a:ext cx="3914775" cy="8572500"/>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148076</xdr:colOff>
      <xdr:row>59</xdr:row>
      <xdr:rowOff>100853</xdr:rowOff>
    </xdr:from>
    <xdr:to>
      <xdr:col>18</xdr:col>
      <xdr:colOff>112058</xdr:colOff>
      <xdr:row>80</xdr:row>
      <xdr:rowOff>170570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295835</xdr:colOff>
      <xdr:row>8</xdr:row>
      <xdr:rowOff>110939</xdr:rowOff>
    </xdr:from>
    <xdr:to>
      <xdr:col>21</xdr:col>
      <xdr:colOff>56029</xdr:colOff>
      <xdr:row>35</xdr:row>
      <xdr:rowOff>201705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168648</xdr:colOff>
      <xdr:row>39</xdr:row>
      <xdr:rowOff>100853</xdr:rowOff>
    </xdr:from>
    <xdr:to>
      <xdr:col>18</xdr:col>
      <xdr:colOff>44822</xdr:colOff>
      <xdr:row>58</xdr:row>
      <xdr:rowOff>78441</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291352</xdr:colOff>
      <xdr:row>39</xdr:row>
      <xdr:rowOff>100852</xdr:rowOff>
    </xdr:from>
    <xdr:to>
      <xdr:col>25</xdr:col>
      <xdr:colOff>100852</xdr:colOff>
      <xdr:row>59</xdr:row>
      <xdr:rowOff>44823</xdr:rowOff>
    </xdr:to>
    <xdr:graphicFrame macro="">
      <xdr:nvGraphicFramePr>
        <xdr:cNvPr id="5"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27</xdr:col>
      <xdr:colOff>301235</xdr:colOff>
      <xdr:row>62</xdr:row>
      <xdr:rowOff>130751</xdr:rowOff>
    </xdr:from>
    <xdr:to>
      <xdr:col>33</xdr:col>
      <xdr:colOff>572976</xdr:colOff>
      <xdr:row>86</xdr:row>
      <xdr:rowOff>92651</xdr:rowOff>
    </xdr:to>
    <xdr:graphicFrame macro="">
      <xdr:nvGraphicFramePr>
        <xdr:cNvPr id="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25</xdr:col>
      <xdr:colOff>600025</xdr:colOff>
      <xdr:row>41</xdr:row>
      <xdr:rowOff>82211</xdr:rowOff>
    </xdr:from>
    <xdr:to>
      <xdr:col>32</xdr:col>
      <xdr:colOff>48134</xdr:colOff>
      <xdr:row>65</xdr:row>
      <xdr:rowOff>158411</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324971</xdr:colOff>
      <xdr:row>26</xdr:row>
      <xdr:rowOff>145675</xdr:rowOff>
    </xdr:from>
    <xdr:to>
      <xdr:col>10</xdr:col>
      <xdr:colOff>336177</xdr:colOff>
      <xdr:row>36</xdr:row>
      <xdr:rowOff>190499</xdr:rowOff>
    </xdr:to>
    <xdr:graphicFrame macro="">
      <xdr:nvGraphicFramePr>
        <xdr:cNvPr id="8"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13</xdr:col>
      <xdr:colOff>76760</xdr:colOff>
      <xdr:row>0</xdr:row>
      <xdr:rowOff>168088</xdr:rowOff>
    </xdr:from>
    <xdr:to>
      <xdr:col>19</xdr:col>
      <xdr:colOff>536763</xdr:colOff>
      <xdr:row>6</xdr:row>
      <xdr:rowOff>107578</xdr:rowOff>
    </xdr:to>
    <xdr:graphicFrame macro="">
      <xdr:nvGraphicFramePr>
        <xdr:cNvPr id="9"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30</xdr:col>
      <xdr:colOff>506665</xdr:colOff>
      <xdr:row>16</xdr:row>
      <xdr:rowOff>134470</xdr:rowOff>
    </xdr:from>
    <xdr:to>
      <xdr:col>37</xdr:col>
      <xdr:colOff>470647</xdr:colOff>
      <xdr:row>35</xdr:row>
      <xdr:rowOff>92129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295835</xdr:colOff>
      <xdr:row>8</xdr:row>
      <xdr:rowOff>110939</xdr:rowOff>
    </xdr:from>
    <xdr:to>
      <xdr:col>21</xdr:col>
      <xdr:colOff>56029</xdr:colOff>
      <xdr:row>35</xdr:row>
      <xdr:rowOff>201705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168648</xdr:colOff>
      <xdr:row>39</xdr:row>
      <xdr:rowOff>100853</xdr:rowOff>
    </xdr:from>
    <xdr:to>
      <xdr:col>18</xdr:col>
      <xdr:colOff>44822</xdr:colOff>
      <xdr:row>58</xdr:row>
      <xdr:rowOff>78441</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291352</xdr:colOff>
      <xdr:row>39</xdr:row>
      <xdr:rowOff>100852</xdr:rowOff>
    </xdr:from>
    <xdr:to>
      <xdr:col>25</xdr:col>
      <xdr:colOff>100852</xdr:colOff>
      <xdr:row>59</xdr:row>
      <xdr:rowOff>44823</xdr:rowOff>
    </xdr:to>
    <xdr:graphicFrame macro="">
      <xdr:nvGraphicFramePr>
        <xdr:cNvPr id="5"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18</xdr:col>
      <xdr:colOff>245205</xdr:colOff>
      <xdr:row>60</xdr:row>
      <xdr:rowOff>97133</xdr:rowOff>
    </xdr:from>
    <xdr:to>
      <xdr:col>24</xdr:col>
      <xdr:colOff>516947</xdr:colOff>
      <xdr:row>84</xdr:row>
      <xdr:rowOff>59033</xdr:rowOff>
    </xdr:to>
    <xdr:graphicFrame macro="">
      <xdr:nvGraphicFramePr>
        <xdr:cNvPr id="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207819</xdr:colOff>
      <xdr:row>60</xdr:row>
      <xdr:rowOff>93417</xdr:rowOff>
    </xdr:from>
    <xdr:to>
      <xdr:col>17</xdr:col>
      <xdr:colOff>261046</xdr:colOff>
      <xdr:row>84</xdr:row>
      <xdr:rowOff>169617</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324971</xdr:colOff>
      <xdr:row>26</xdr:row>
      <xdr:rowOff>145675</xdr:rowOff>
    </xdr:from>
    <xdr:to>
      <xdr:col>10</xdr:col>
      <xdr:colOff>336177</xdr:colOff>
      <xdr:row>36</xdr:row>
      <xdr:rowOff>190499</xdr:rowOff>
    </xdr:to>
    <xdr:graphicFrame macro="">
      <xdr:nvGraphicFramePr>
        <xdr:cNvPr id="8"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13</xdr:col>
      <xdr:colOff>76760</xdr:colOff>
      <xdr:row>0</xdr:row>
      <xdr:rowOff>168088</xdr:rowOff>
    </xdr:from>
    <xdr:to>
      <xdr:col>19</xdr:col>
      <xdr:colOff>536763</xdr:colOff>
      <xdr:row>6</xdr:row>
      <xdr:rowOff>107578</xdr:rowOff>
    </xdr:to>
    <xdr:graphicFrame macro="">
      <xdr:nvGraphicFramePr>
        <xdr:cNvPr id="9"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3:D33"/>
  <sheetViews>
    <sheetView workbookViewId="0">
      <selection activeCell="A36" sqref="A36"/>
    </sheetView>
  </sheetViews>
  <sheetFormatPr defaultRowHeight="15"/>
  <cols>
    <col min="1" max="1" width="31.85546875" bestFit="1" customWidth="1"/>
  </cols>
  <sheetData>
    <row r="3" spans="1:4">
      <c r="A3" s="28" t="s">
        <v>28</v>
      </c>
      <c r="B3" s="29">
        <v>183</v>
      </c>
    </row>
    <row r="4" spans="1:4">
      <c r="A4" s="14" t="s">
        <v>20</v>
      </c>
      <c r="B4" s="15">
        <v>14.69</v>
      </c>
      <c r="C4" s="10" t="s">
        <v>53</v>
      </c>
    </row>
    <row r="5" spans="1:4">
      <c r="A5" s="14" t="s">
        <v>23</v>
      </c>
      <c r="B5" s="16">
        <v>70</v>
      </c>
      <c r="C5" s="17">
        <f>CONVERT(B5,"F","C")</f>
        <v>21.111111111111111</v>
      </c>
    </row>
    <row r="6" spans="1:4">
      <c r="A6" s="14" t="s">
        <v>45</v>
      </c>
      <c r="B6" s="18">
        <v>77</v>
      </c>
      <c r="C6" s="17">
        <f>CONVERT(B6,"F","C")</f>
        <v>25</v>
      </c>
      <c r="D6" t="s">
        <v>64</v>
      </c>
    </row>
    <row r="7" spans="1:4">
      <c r="A7" s="14" t="s">
        <v>30</v>
      </c>
      <c r="B7" s="19">
        <v>0.7</v>
      </c>
      <c r="C7" s="10"/>
    </row>
    <row r="8" spans="1:4">
      <c r="A8" s="14" t="s">
        <v>31</v>
      </c>
      <c r="B8" s="19">
        <v>0.7</v>
      </c>
      <c r="C8" s="9"/>
    </row>
    <row r="9" spans="1:4">
      <c r="A9" s="14" t="s">
        <v>29</v>
      </c>
      <c r="B9" s="20">
        <v>0.25</v>
      </c>
      <c r="C9" s="10" t="s">
        <v>65</v>
      </c>
    </row>
    <row r="10" spans="1:4">
      <c r="A10" s="14" t="s">
        <v>32</v>
      </c>
      <c r="B10" s="20">
        <v>0.25</v>
      </c>
      <c r="C10" s="10" t="s">
        <v>66</v>
      </c>
    </row>
    <row r="11" spans="1:4">
      <c r="A11" s="14" t="s">
        <v>61</v>
      </c>
      <c r="B11" s="19">
        <v>0.7</v>
      </c>
      <c r="C11" s="10"/>
    </row>
    <row r="12" spans="1:4">
      <c r="A12" s="14" t="s">
        <v>33</v>
      </c>
      <c r="B12" s="24">
        <v>0.25</v>
      </c>
      <c r="C12" s="10" t="s">
        <v>67</v>
      </c>
    </row>
    <row r="13" spans="1:4">
      <c r="A13" s="14" t="s">
        <v>62</v>
      </c>
      <c r="B13" s="40">
        <v>0.7</v>
      </c>
      <c r="C13" s="10"/>
    </row>
    <row r="14" spans="1:4">
      <c r="A14" s="14" t="s">
        <v>19</v>
      </c>
      <c r="B14" s="21">
        <v>29</v>
      </c>
      <c r="C14" s="9"/>
    </row>
    <row r="15" spans="1:4">
      <c r="A15" s="14" t="s">
        <v>3</v>
      </c>
      <c r="B15" s="22">
        <v>0.84499999999999997</v>
      </c>
      <c r="C15" s="10" t="s">
        <v>54</v>
      </c>
    </row>
    <row r="16" spans="1:4">
      <c r="A16" s="14" t="s">
        <v>27</v>
      </c>
      <c r="B16" s="23">
        <v>7.6410000000000006E-2</v>
      </c>
      <c r="C16" s="30" t="s">
        <v>55</v>
      </c>
    </row>
    <row r="17" spans="1:3">
      <c r="A17" s="35" t="s">
        <v>36</v>
      </c>
      <c r="B17" s="36">
        <v>18</v>
      </c>
    </row>
    <row r="23" spans="1:3">
      <c r="B23" s="68" t="s">
        <v>68</v>
      </c>
      <c r="C23" s="68"/>
    </row>
    <row r="24" spans="1:3">
      <c r="B24" t="s">
        <v>69</v>
      </c>
      <c r="C24" t="s">
        <v>70</v>
      </c>
    </row>
    <row r="25" spans="1:3">
      <c r="B25">
        <v>270</v>
      </c>
      <c r="C25">
        <f>B25*0.001644</f>
        <v>0.44388</v>
      </c>
    </row>
    <row r="26" spans="1:3">
      <c r="B26">
        <v>280</v>
      </c>
      <c r="C26">
        <f t="shared" ref="C26:C27" si="0">B26*0.001644</f>
        <v>0.46032000000000001</v>
      </c>
    </row>
    <row r="27" spans="1:3">
      <c r="B27">
        <v>300</v>
      </c>
      <c r="C27">
        <f t="shared" si="0"/>
        <v>0.49320000000000003</v>
      </c>
    </row>
    <row r="32" spans="1:3">
      <c r="A32" t="s">
        <v>71</v>
      </c>
    </row>
    <row r="33" spans="1:1">
      <c r="A33" t="s">
        <v>72</v>
      </c>
    </row>
  </sheetData>
  <mergeCells count="1">
    <mergeCell ref="B23:C2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V74"/>
  <sheetViews>
    <sheetView tabSelected="1" zoomScale="85" zoomScaleNormal="85" workbookViewId="0">
      <selection activeCell="AC75" sqref="AC75"/>
    </sheetView>
  </sheetViews>
  <sheetFormatPr defaultRowHeight="15"/>
  <cols>
    <col min="1" max="1" width="11.7109375" style="2" customWidth="1"/>
    <col min="2" max="2" width="8.28515625" style="2" customWidth="1"/>
    <col min="3" max="3" width="9.42578125" style="2" customWidth="1"/>
    <col min="4" max="10" width="8.28515625" style="2" customWidth="1"/>
    <col min="11" max="11" width="11.42578125" style="2" customWidth="1"/>
    <col min="12" max="13" width="9.140625" style="2" customWidth="1"/>
    <col min="14" max="28" width="9" style="2" customWidth="1"/>
    <col min="29" max="16384" width="9.140625" style="2"/>
  </cols>
  <sheetData>
    <row r="1" spans="1:22" ht="93" customHeight="1">
      <c r="A1" s="99" t="s">
        <v>50</v>
      </c>
      <c r="B1" s="99"/>
      <c r="C1" s="99"/>
      <c r="D1" s="99"/>
      <c r="E1" s="99"/>
      <c r="F1" s="99"/>
      <c r="G1" s="99"/>
      <c r="H1" s="99"/>
      <c r="I1" s="99"/>
      <c r="J1" s="99"/>
      <c r="K1" s="99"/>
      <c r="L1" s="33"/>
      <c r="M1" s="33"/>
      <c r="N1" s="33"/>
      <c r="O1" s="26"/>
      <c r="P1" s="26"/>
    </row>
    <row r="2" spans="1:22" ht="15" customHeight="1">
      <c r="A2" s="42"/>
      <c r="B2" s="42"/>
      <c r="C2" s="42"/>
      <c r="D2" s="42"/>
      <c r="E2" s="42"/>
      <c r="F2" s="42"/>
      <c r="G2" s="42"/>
      <c r="H2" s="42"/>
      <c r="I2" s="42"/>
      <c r="J2" s="42"/>
      <c r="K2" s="33"/>
      <c r="L2" s="33"/>
      <c r="M2" s="33"/>
      <c r="N2" s="33"/>
      <c r="O2" s="26"/>
      <c r="P2" s="26"/>
    </row>
    <row r="3" spans="1:22" ht="3" customHeight="1">
      <c r="A3" s="54"/>
      <c r="B3" s="54"/>
      <c r="C3" s="54"/>
      <c r="D3" s="54"/>
      <c r="E3" s="54"/>
      <c r="F3" s="54"/>
      <c r="G3" s="54"/>
      <c r="H3" s="54"/>
      <c r="I3" s="54"/>
      <c r="J3" s="54"/>
      <c r="K3" s="55"/>
      <c r="L3" s="33"/>
      <c r="M3" s="33"/>
      <c r="N3" s="33"/>
      <c r="O3" s="26"/>
      <c r="P3" s="26"/>
    </row>
    <row r="4" spans="1:22" ht="15" customHeight="1" thickBot="1">
      <c r="A4" s="42"/>
      <c r="B4" s="42"/>
      <c r="C4" s="42"/>
      <c r="D4" s="42"/>
      <c r="E4" s="42"/>
      <c r="F4" s="42"/>
      <c r="G4" s="42"/>
      <c r="H4" s="42"/>
      <c r="I4" s="42"/>
      <c r="J4" s="42"/>
      <c r="K4" s="33"/>
      <c r="L4" s="33"/>
      <c r="M4" s="33"/>
      <c r="N4" s="33"/>
      <c r="O4" s="26"/>
      <c r="P4" s="26"/>
    </row>
    <row r="5" spans="1:22" ht="15" customHeight="1" thickTop="1" thickBot="1">
      <c r="A5" s="33"/>
      <c r="B5" s="96" t="s">
        <v>63</v>
      </c>
      <c r="C5" s="97"/>
      <c r="D5" s="97"/>
      <c r="E5" s="97"/>
      <c r="F5" s="97"/>
      <c r="G5" s="97"/>
      <c r="H5" s="97"/>
      <c r="I5" s="97"/>
      <c r="J5" s="98"/>
      <c r="K5" s="33"/>
      <c r="L5" s="33"/>
      <c r="M5" s="33"/>
      <c r="N5" s="33"/>
      <c r="O5" s="26"/>
      <c r="P5" s="26"/>
    </row>
    <row r="6" spans="1:22" ht="15" customHeight="1" thickTop="1">
      <c r="A6" s="33"/>
      <c r="B6" s="100" t="s">
        <v>5</v>
      </c>
      <c r="C6" s="101"/>
      <c r="D6" s="101"/>
      <c r="E6" s="44">
        <v>1900</v>
      </c>
      <c r="F6" s="44">
        <v>2400</v>
      </c>
      <c r="G6" s="44">
        <v>3000</v>
      </c>
      <c r="H6" s="44">
        <v>4000</v>
      </c>
      <c r="I6" s="44">
        <v>4700</v>
      </c>
      <c r="J6" s="48">
        <v>5250</v>
      </c>
      <c r="L6" s="25"/>
      <c r="M6" s="25"/>
      <c r="N6" s="25"/>
      <c r="O6" s="26"/>
      <c r="P6" s="26"/>
    </row>
    <row r="7" spans="1:22" ht="15" customHeight="1">
      <c r="A7" s="33"/>
      <c r="B7" s="102" t="s">
        <v>51</v>
      </c>
      <c r="C7" s="103"/>
      <c r="D7" s="103"/>
      <c r="E7" s="31">
        <v>1</v>
      </c>
      <c r="F7" s="31">
        <v>1</v>
      </c>
      <c r="G7" s="31">
        <v>1</v>
      </c>
      <c r="H7" s="31">
        <v>1</v>
      </c>
      <c r="I7" s="31">
        <v>1</v>
      </c>
      <c r="J7" s="49">
        <v>1</v>
      </c>
      <c r="L7" s="32"/>
      <c r="M7" s="32"/>
      <c r="N7" s="32"/>
    </row>
    <row r="8" spans="1:22" ht="15" customHeight="1">
      <c r="A8" s="33"/>
      <c r="B8" s="102" t="s">
        <v>52</v>
      </c>
      <c r="C8" s="103"/>
      <c r="D8" s="103"/>
      <c r="E8" s="31">
        <v>1.7</v>
      </c>
      <c r="F8" s="31">
        <v>1.92</v>
      </c>
      <c r="G8" s="31">
        <v>1.92</v>
      </c>
      <c r="H8" s="31">
        <v>1.92</v>
      </c>
      <c r="I8" s="31">
        <v>1.92</v>
      </c>
      <c r="J8" s="49">
        <v>1.92</v>
      </c>
    </row>
    <row r="9" spans="1:22" ht="15" customHeight="1">
      <c r="A9" s="33"/>
      <c r="B9" s="87" t="s">
        <v>24</v>
      </c>
      <c r="C9" s="88"/>
      <c r="D9" s="88"/>
      <c r="E9" s="12">
        <v>0</v>
      </c>
      <c r="F9" s="12">
        <v>0</v>
      </c>
      <c r="G9" s="12">
        <v>0</v>
      </c>
      <c r="H9" s="12">
        <v>0</v>
      </c>
      <c r="I9" s="12">
        <v>0</v>
      </c>
      <c r="J9" s="50">
        <v>0</v>
      </c>
    </row>
    <row r="10" spans="1:22" ht="15" customHeight="1">
      <c r="A10" s="33"/>
      <c r="B10" s="87" t="s">
        <v>25</v>
      </c>
      <c r="C10" s="88"/>
      <c r="D10" s="88"/>
      <c r="E10" s="12">
        <v>0</v>
      </c>
      <c r="F10" s="12">
        <v>0</v>
      </c>
      <c r="G10" s="12">
        <v>0</v>
      </c>
      <c r="H10" s="12">
        <v>0</v>
      </c>
      <c r="I10" s="12">
        <v>0</v>
      </c>
      <c r="J10" s="50">
        <v>0</v>
      </c>
    </row>
    <row r="11" spans="1:22" ht="15" customHeight="1">
      <c r="B11" s="89" t="s">
        <v>37</v>
      </c>
      <c r="C11" s="90"/>
      <c r="D11" s="90"/>
      <c r="E11" s="13">
        <v>0.44400000000000001</v>
      </c>
      <c r="F11" s="13">
        <v>0.44400000000000001</v>
      </c>
      <c r="G11" s="13">
        <v>0.44400000000000001</v>
      </c>
      <c r="H11" s="13">
        <v>0.44400000000000001</v>
      </c>
      <c r="I11" s="13">
        <v>0.46</v>
      </c>
      <c r="J11" s="51">
        <v>0.5</v>
      </c>
    </row>
    <row r="12" spans="1:22" ht="15" customHeight="1" thickBot="1">
      <c r="B12" s="91" t="s">
        <v>6</v>
      </c>
      <c r="C12" s="92"/>
      <c r="D12" s="92"/>
      <c r="E12" s="52">
        <v>0.95</v>
      </c>
      <c r="F12" s="52">
        <v>0.9</v>
      </c>
      <c r="G12" s="52">
        <v>0.9</v>
      </c>
      <c r="H12" s="52">
        <v>0.82</v>
      </c>
      <c r="I12" s="52">
        <v>0.77</v>
      </c>
      <c r="J12" s="53">
        <v>0.7</v>
      </c>
      <c r="L12" s="39"/>
      <c r="M12" s="39"/>
      <c r="U12" s="11"/>
      <c r="V12" s="11"/>
    </row>
    <row r="13" spans="1:22" ht="48.75" customHeight="1" thickTop="1">
      <c r="B13" s="95" t="s">
        <v>73</v>
      </c>
      <c r="C13" s="95"/>
      <c r="D13" s="95"/>
      <c r="E13" s="95"/>
      <c r="F13" s="95"/>
      <c r="G13" s="95"/>
      <c r="H13" s="95"/>
      <c r="I13" s="95"/>
      <c r="J13" s="95"/>
      <c r="K13" s="39"/>
      <c r="L13" s="39"/>
      <c r="M13" s="39"/>
      <c r="N13" s="38"/>
      <c r="U13" s="9"/>
      <c r="V13" s="9"/>
    </row>
    <row r="14" spans="1:22" ht="3" customHeight="1">
      <c r="A14" s="54"/>
      <c r="B14" s="54"/>
      <c r="C14" s="54"/>
      <c r="D14" s="54"/>
      <c r="E14" s="54"/>
      <c r="F14" s="54"/>
      <c r="G14" s="54"/>
      <c r="H14" s="54"/>
      <c r="I14" s="54"/>
      <c r="J14" s="54"/>
      <c r="K14" s="55"/>
      <c r="L14" s="39"/>
      <c r="M14" s="39"/>
      <c r="N14" s="38"/>
      <c r="U14" s="9"/>
      <c r="V14" s="9"/>
    </row>
    <row r="15" spans="1:22" ht="14.25" customHeight="1" thickBot="1">
      <c r="U15"/>
    </row>
    <row r="16" spans="1:22" ht="15" customHeight="1" thickTop="1" thickBot="1">
      <c r="B16" s="71" t="s">
        <v>46</v>
      </c>
      <c r="C16" s="72"/>
      <c r="D16" s="72"/>
      <c r="E16" s="72"/>
      <c r="F16" s="72"/>
      <c r="G16" s="72"/>
      <c r="H16" s="72"/>
      <c r="I16" s="72"/>
      <c r="J16" s="73"/>
      <c r="K16" s="9"/>
      <c r="U16"/>
    </row>
    <row r="17" spans="1:21" ht="18.75" customHeight="1">
      <c r="B17" s="93" t="s">
        <v>40</v>
      </c>
      <c r="C17" s="94"/>
      <c r="D17" s="66">
        <f t="shared" ref="D17:I17" si="0">D74*60/E11</f>
        <v>70.987796087021209</v>
      </c>
      <c r="E17" s="66">
        <f t="shared" si="0"/>
        <v>91.725339568345063</v>
      </c>
      <c r="F17" s="66">
        <f t="shared" si="0"/>
        <v>114.65667446043135</v>
      </c>
      <c r="G17" s="66">
        <f t="shared" si="0"/>
        <v>139.28662675193135</v>
      </c>
      <c r="H17" s="66">
        <f t="shared" si="0"/>
        <v>148.33693410893855</v>
      </c>
      <c r="I17" s="66">
        <f t="shared" si="0"/>
        <v>138.58170053117468</v>
      </c>
      <c r="J17" s="67" t="s">
        <v>39</v>
      </c>
      <c r="K17" s="9"/>
      <c r="U17"/>
    </row>
    <row r="18" spans="1:21" ht="18.75" customHeight="1" thickBot="1">
      <c r="B18" s="75" t="s">
        <v>38</v>
      </c>
      <c r="C18" s="76"/>
      <c r="D18" s="64">
        <f t="shared" ref="D18:I18" si="1">D17*5252/E6</f>
        <v>196.22521318370283</v>
      </c>
      <c r="E18" s="64">
        <f t="shared" si="1"/>
        <v>200.72561808872845</v>
      </c>
      <c r="F18" s="64">
        <f t="shared" si="1"/>
        <v>200.72561808872848</v>
      </c>
      <c r="G18" s="64">
        <f t="shared" si="1"/>
        <v>182.88334092528586</v>
      </c>
      <c r="H18" s="64">
        <f t="shared" si="1"/>
        <v>165.75863360428622</v>
      </c>
      <c r="I18" s="64">
        <f t="shared" si="1"/>
        <v>138.63449355994845</v>
      </c>
      <c r="J18" s="65" t="s">
        <v>41</v>
      </c>
      <c r="K18" s="9"/>
      <c r="U18"/>
    </row>
    <row r="19" spans="1:21" ht="15" customHeight="1" thickBot="1">
      <c r="A19"/>
      <c r="B19"/>
      <c r="C19"/>
      <c r="D19"/>
      <c r="E19"/>
      <c r="F19"/>
      <c r="G19"/>
      <c r="H19"/>
      <c r="I19"/>
      <c r="J19"/>
      <c r="K19"/>
      <c r="U19"/>
    </row>
    <row r="20" spans="1:21" ht="15" customHeight="1" thickTop="1">
      <c r="B20" s="69" t="s">
        <v>26</v>
      </c>
      <c r="C20" s="70"/>
      <c r="D20" s="56">
        <f>D65-Parameters!B4</f>
        <v>9.1829999999999981</v>
      </c>
      <c r="E20" s="56">
        <f>E65-Parameters!B4</f>
        <v>12.304799999999998</v>
      </c>
      <c r="F20" s="56">
        <f>F65-Parameters!B4</f>
        <v>12.304799999999998</v>
      </c>
      <c r="G20" s="56">
        <f>G65-Parameters!B4</f>
        <v>12.304799999999998</v>
      </c>
      <c r="H20" s="56">
        <f>H65-Parameters!B4</f>
        <v>12.304799999999998</v>
      </c>
      <c r="I20" s="56">
        <f>I65-Parameters!B4</f>
        <v>12.304799999999998</v>
      </c>
      <c r="J20" s="57" t="s">
        <v>1</v>
      </c>
      <c r="K20" s="9"/>
      <c r="U20"/>
    </row>
    <row r="21" spans="1:21" ht="15" customHeight="1">
      <c r="B21" s="77" t="s">
        <v>48</v>
      </c>
      <c r="C21" s="78"/>
      <c r="D21" s="58">
        <f>Parameters!B16*D24</f>
        <v>9.80439105130732</v>
      </c>
      <c r="E21" s="58">
        <f>Parameters!B16*E24</f>
        <v>12.668531043555387</v>
      </c>
      <c r="F21" s="58">
        <f>Parameters!B16*F24</f>
        <v>15.835663804444236</v>
      </c>
      <c r="G21" s="58">
        <f>Parameters!B16*G24</f>
        <v>19.237398992065582</v>
      </c>
      <c r="H21" s="58">
        <f>Parameters!B16*H24</f>
        <v>21.225654558623585</v>
      </c>
      <c r="I21" s="58">
        <f>Parameters!B16*I24</f>
        <v>21.554097956049098</v>
      </c>
      <c r="J21" s="59" t="s">
        <v>18</v>
      </c>
      <c r="K21" s="9"/>
      <c r="U21"/>
    </row>
    <row r="22" spans="1:21" ht="15" customHeight="1">
      <c r="B22" s="79" t="s">
        <v>49</v>
      </c>
      <c r="C22" s="80"/>
      <c r="D22" s="60">
        <f>Parameters!B16*D25</f>
        <v>9.9771252135925099</v>
      </c>
      <c r="E22" s="60">
        <f>Parameters!B16*E25</f>
        <v>12.891725741292444</v>
      </c>
      <c r="F22" s="60">
        <f>Parameters!B16*F25</f>
        <v>16.114657176615555</v>
      </c>
      <c r="G22" s="60">
        <f>Parameters!B16*G25</f>
        <v>19.576324273814446</v>
      </c>
      <c r="H22" s="60">
        <f>Parameters!B16*H25</f>
        <v>21.599609008211736</v>
      </c>
      <c r="I22" s="60">
        <f>Parameters!B16*I25</f>
        <v>21.933838934837834</v>
      </c>
      <c r="J22" s="61" t="s">
        <v>18</v>
      </c>
      <c r="K22" s="9"/>
      <c r="U22"/>
    </row>
    <row r="23" spans="1:21" ht="15" customHeight="1">
      <c r="B23" s="81" t="s">
        <v>56</v>
      </c>
      <c r="C23" s="82"/>
      <c r="D23" s="62">
        <f>Parameters!B3/2/1728*D68*E6*E12</f>
        <v>9.4555744387912259</v>
      </c>
      <c r="E23" s="62">
        <f>Parameters!B3/2/1728*E68*F6*F12</f>
        <v>12.217815230503565</v>
      </c>
      <c r="F23" s="62">
        <f>Parameters!B3/2/1728*F68*G6*G12</f>
        <v>15.272269038129457</v>
      </c>
      <c r="G23" s="62">
        <f>Parameters!B3/2/1728*G68*H6*H12</f>
        <v>18.55297868335726</v>
      </c>
      <c r="H23" s="62">
        <f>Parameters!B3/2/1728*H68*I6*I12</f>
        <v>20.470496907033517</v>
      </c>
      <c r="I23" s="62">
        <f>Parameters!B3/2/1728*I68*J6*J12</f>
        <v>20.787255079676203</v>
      </c>
      <c r="J23" s="63" t="s">
        <v>18</v>
      </c>
      <c r="P23"/>
      <c r="U23"/>
    </row>
    <row r="24" spans="1:21" ht="15" customHeight="1">
      <c r="B24" s="83" t="s">
        <v>34</v>
      </c>
      <c r="C24" s="84"/>
      <c r="D24" s="37">
        <f t="shared" ref="D24:I24" si="2">D23/D43</f>
        <v>128.31293091620626</v>
      </c>
      <c r="E24" s="37">
        <f t="shared" si="2"/>
        <v>165.79676800883897</v>
      </c>
      <c r="F24" s="37">
        <f t="shared" si="2"/>
        <v>207.24596001104874</v>
      </c>
      <c r="G24" s="37">
        <f t="shared" si="2"/>
        <v>251.76546253194059</v>
      </c>
      <c r="H24" s="37">
        <f t="shared" si="2"/>
        <v>277.78634417777232</v>
      </c>
      <c r="I24" s="37">
        <f t="shared" si="2"/>
        <v>282.08477890392743</v>
      </c>
      <c r="J24" s="45" t="s">
        <v>17</v>
      </c>
      <c r="P24"/>
      <c r="U24"/>
    </row>
    <row r="25" spans="1:21" ht="15" customHeight="1">
      <c r="B25" s="83" t="s">
        <v>35</v>
      </c>
      <c r="C25" s="84"/>
      <c r="D25" s="37">
        <f t="shared" ref="D25:I25" si="3">D23/D53</f>
        <v>130.57355337773208</v>
      </c>
      <c r="E25" s="37">
        <f t="shared" si="3"/>
        <v>168.7177822443717</v>
      </c>
      <c r="F25" s="37">
        <f t="shared" si="3"/>
        <v>210.89722780546464</v>
      </c>
      <c r="G25" s="37">
        <f t="shared" si="3"/>
        <v>256.20107674145328</v>
      </c>
      <c r="H25" s="37">
        <f t="shared" si="3"/>
        <v>282.68039534369501</v>
      </c>
      <c r="I25" s="37">
        <f t="shared" si="3"/>
        <v>287.05456006854905</v>
      </c>
      <c r="J25" s="45" t="s">
        <v>17</v>
      </c>
      <c r="P25"/>
      <c r="U25"/>
    </row>
    <row r="26" spans="1:21" ht="15" customHeight="1" thickBot="1">
      <c r="B26" s="85" t="s">
        <v>43</v>
      </c>
      <c r="C26" s="86"/>
      <c r="D26" s="46">
        <f>(D17*793000)/(E6*Parameters!B3)</f>
        <v>161.90199107566241</v>
      </c>
      <c r="E26" s="46">
        <f>(E17*793000)/(F6*Parameters!B3)</f>
        <v>165.61519644284525</v>
      </c>
      <c r="F26" s="46">
        <f>(F17*793000)/(G6*Parameters!B3)</f>
        <v>165.61519644284527</v>
      </c>
      <c r="G26" s="46">
        <f>(G17*793000)/(H6*Parameters!B3)</f>
        <v>150.89384564792562</v>
      </c>
      <c r="H26" s="46">
        <f>(H17*793000)/(I6*Parameters!B3)</f>
        <v>136.76454917845399</v>
      </c>
      <c r="I26" s="46">
        <f>(I17*793000)/(J6*Parameters!B3)</f>
        <v>114.38489567652513</v>
      </c>
      <c r="J26" s="47" t="s">
        <v>44</v>
      </c>
      <c r="K26" s="27"/>
      <c r="P26"/>
      <c r="U26"/>
    </row>
    <row r="27" spans="1:21" ht="18.75" customHeight="1" thickTop="1">
      <c r="P27"/>
      <c r="U27"/>
    </row>
    <row r="28" spans="1:21" ht="18.75" customHeight="1">
      <c r="P28"/>
      <c r="U28"/>
    </row>
    <row r="29" spans="1:21" ht="18.75" customHeight="1">
      <c r="L29" s="9"/>
      <c r="M29" s="9"/>
      <c r="N29" s="9"/>
    </row>
    <row r="30" spans="1:21" ht="18.75" customHeight="1">
      <c r="L30" s="9"/>
      <c r="M30" s="9"/>
      <c r="N30" s="9"/>
    </row>
    <row r="31" spans="1:21" ht="18.75" customHeight="1">
      <c r="L31" s="9"/>
      <c r="M31" s="9"/>
      <c r="N31" s="9"/>
    </row>
    <row r="32" spans="1:21" ht="18.75" customHeight="1"/>
    <row r="33" spans="1:16" ht="18.75" customHeight="1"/>
    <row r="34" spans="1:16" ht="18.75" customHeight="1"/>
    <row r="35" spans="1:16" ht="18.75" customHeight="1"/>
    <row r="36" spans="1:16" ht="18.75" customHeight="1"/>
    <row r="37" spans="1:16" ht="18.75" customHeight="1"/>
    <row r="38" spans="1:16" ht="18.75" customHeight="1"/>
    <row r="40" spans="1:16" ht="18.75">
      <c r="A40" s="74" t="s">
        <v>47</v>
      </c>
      <c r="B40" s="74"/>
      <c r="C40" s="74"/>
      <c r="D40" s="74"/>
      <c r="E40" s="74"/>
      <c r="F40" s="74"/>
      <c r="G40" s="74"/>
    </row>
    <row r="41" spans="1:16">
      <c r="A41" s="5" t="s">
        <v>4</v>
      </c>
    </row>
    <row r="42" spans="1:16">
      <c r="A42" t="s">
        <v>9</v>
      </c>
      <c r="D42" s="4">
        <f>Parameters!B4-Parameters!B9</f>
        <v>14.44</v>
      </c>
      <c r="E42" s="4">
        <f>Parameters!B4-Parameters!B9</f>
        <v>14.44</v>
      </c>
      <c r="F42" s="4">
        <f>Parameters!B4-Parameters!B9</f>
        <v>14.44</v>
      </c>
      <c r="G42" s="4">
        <f>Parameters!B4-Parameters!B9</f>
        <v>14.44</v>
      </c>
      <c r="H42" s="4">
        <f>Parameters!B4-Parameters!B9</f>
        <v>14.44</v>
      </c>
      <c r="I42" s="4">
        <f>Parameters!B4-Parameters!B9</f>
        <v>14.44</v>
      </c>
      <c r="J42" s="2" t="s">
        <v>0</v>
      </c>
    </row>
    <row r="43" spans="1:16">
      <c r="A43" t="s">
        <v>10</v>
      </c>
      <c r="D43" s="6">
        <f>(D42)*Parameters!B14/(10.73*(459.6+Parameters!B5))</f>
        <v>7.3691516289703593E-2</v>
      </c>
      <c r="E43" s="6">
        <f>(E42)*Parameters!B14/(10.73*(459.6+Parameters!B5))</f>
        <v>7.3691516289703593E-2</v>
      </c>
      <c r="F43" s="6">
        <f>(F42)*Parameters!B14/(10.73*(459.6+Parameters!B5))</f>
        <v>7.3691516289703593E-2</v>
      </c>
      <c r="G43" s="6">
        <f>(G42)*Parameters!B14/(10.73*(459.6+Parameters!B5))</f>
        <v>7.3691516289703593E-2</v>
      </c>
      <c r="H43" s="6">
        <f>(H42)*Parameters!B14/(10.73*(459.6+Parameters!B5))</f>
        <v>7.3691516289703593E-2</v>
      </c>
      <c r="I43" s="6">
        <f>(I42)*Parameters!B14/(10.73*(459.6+Parameters!B5))</f>
        <v>7.3691516289703593E-2</v>
      </c>
      <c r="J43" s="2" t="s">
        <v>8</v>
      </c>
      <c r="P43" s="7"/>
    </row>
    <row r="44" spans="1:16">
      <c r="A44" t="s">
        <v>15</v>
      </c>
      <c r="D44" s="3">
        <f t="shared" ref="D44:I44" si="4">D42*E7</f>
        <v>14.44</v>
      </c>
      <c r="E44" s="3">
        <f t="shared" si="4"/>
        <v>14.44</v>
      </c>
      <c r="F44" s="3">
        <f t="shared" si="4"/>
        <v>14.44</v>
      </c>
      <c r="G44" s="3">
        <f t="shared" si="4"/>
        <v>14.44</v>
      </c>
      <c r="H44" s="3">
        <f t="shared" si="4"/>
        <v>14.44</v>
      </c>
      <c r="I44" s="3">
        <f t="shared" si="4"/>
        <v>14.44</v>
      </c>
      <c r="J44" s="2" t="s">
        <v>0</v>
      </c>
    </row>
    <row r="45" spans="1:16">
      <c r="A45" t="s">
        <v>14</v>
      </c>
      <c r="D45" s="3">
        <f>((E7^0.283 - 1) * (Parameters!B5+459.6))/Parameters!B7</f>
        <v>0</v>
      </c>
      <c r="E45" s="3">
        <f>((F7^0.283 - 1) * (Parameters!B5+459.6))/Parameters!B7</f>
        <v>0</v>
      </c>
      <c r="F45" s="3">
        <f>((G7^0.283 - 1) * (Parameters!B5+459.6))/Parameters!B7</f>
        <v>0</v>
      </c>
      <c r="G45" s="3">
        <f>((H7^0.283 - 1) * (Parameters!B5+459.6))/Parameters!B7</f>
        <v>0</v>
      </c>
      <c r="H45" s="3">
        <f>((I7^0.283 - 1) * (Parameters!B5+459.6))/Parameters!B7</f>
        <v>0</v>
      </c>
      <c r="I45" s="3">
        <f>((J7^0.283 - 1) * (Parameters!B5+459.6))/Parameters!B7</f>
        <v>0</v>
      </c>
      <c r="J45" s="2" t="s">
        <v>2</v>
      </c>
    </row>
    <row r="46" spans="1:16">
      <c r="A46" t="s">
        <v>13</v>
      </c>
      <c r="D46" s="3">
        <f>D45+Parameters!B5</f>
        <v>70</v>
      </c>
      <c r="E46" s="3">
        <f>E45+Parameters!B5</f>
        <v>70</v>
      </c>
      <c r="F46" s="3">
        <f>F45+Parameters!B5</f>
        <v>70</v>
      </c>
      <c r="G46" s="3">
        <f>G45+Parameters!B5</f>
        <v>70</v>
      </c>
      <c r="H46" s="3">
        <f>H45+Parameters!B5</f>
        <v>70</v>
      </c>
      <c r="I46" s="3">
        <f>I45+Parameters!B5</f>
        <v>70</v>
      </c>
      <c r="J46" s="2" t="s">
        <v>2</v>
      </c>
    </row>
    <row r="47" spans="1:16">
      <c r="A47" t="s">
        <v>12</v>
      </c>
      <c r="D47" s="6">
        <f>(D44*Parameters!B14)/(10.73*(459.6+D46))</f>
        <v>7.3691516289703593E-2</v>
      </c>
      <c r="E47" s="6">
        <f>(E44*Parameters!B14)/(10.73*(459.6+E46))</f>
        <v>7.3691516289703593E-2</v>
      </c>
      <c r="F47" s="6">
        <f>(F44*Parameters!B14)/(10.73*(459.6+F46))</f>
        <v>7.3691516289703593E-2</v>
      </c>
      <c r="G47" s="6">
        <f>(G44*Parameters!B14)/(10.73*(459.6+G46))</f>
        <v>7.3691516289703593E-2</v>
      </c>
      <c r="H47" s="6">
        <f>(H44*Parameters!B14)/(10.73*(459.6+H46))</f>
        <v>7.3691516289703593E-2</v>
      </c>
      <c r="I47" s="6">
        <f>(I44*Parameters!B14)/(10.73*(459.6+I46))</f>
        <v>7.3691516289703593E-2</v>
      </c>
      <c r="J47" s="2" t="s">
        <v>8</v>
      </c>
    </row>
    <row r="48" spans="1:16">
      <c r="A48"/>
    </row>
    <row r="49" spans="1:16">
      <c r="A49" s="5" t="s">
        <v>21</v>
      </c>
      <c r="B49" s="3"/>
      <c r="C49" s="3"/>
      <c r="D49" s="3"/>
      <c r="E49" s="3"/>
      <c r="F49" s="3"/>
      <c r="G49" s="3"/>
    </row>
    <row r="50" spans="1:16">
      <c r="A50" t="s">
        <v>15</v>
      </c>
      <c r="D50" s="4">
        <f>D44-Parameters!B10</f>
        <v>14.19</v>
      </c>
      <c r="E50" s="4">
        <f>E44-Parameters!B10</f>
        <v>14.19</v>
      </c>
      <c r="F50" s="4">
        <f>F44-Parameters!B10</f>
        <v>14.19</v>
      </c>
      <c r="G50" s="4">
        <f>G44-Parameters!B10</f>
        <v>14.19</v>
      </c>
      <c r="H50" s="4">
        <f>H44-Parameters!B10</f>
        <v>14.19</v>
      </c>
      <c r="I50" s="4">
        <f>I44-Parameters!B10</f>
        <v>14.19</v>
      </c>
      <c r="J50" s="2" t="s">
        <v>0</v>
      </c>
    </row>
    <row r="51" spans="1:16">
      <c r="A51" t="s">
        <v>16</v>
      </c>
      <c r="D51" s="3">
        <f>((D46+459.6)-(Parameters!B6+459.6))*E9</f>
        <v>0</v>
      </c>
      <c r="E51" s="3">
        <f>((E46+459.6)-(Parameters!B6+459.6))*F9</f>
        <v>0</v>
      </c>
      <c r="F51" s="3">
        <f>((F46+459.6)-(Parameters!B6+459.6))*G9</f>
        <v>0</v>
      </c>
      <c r="G51" s="3">
        <f>((G46+459.6)-(Parameters!B6+459.6))*H9</f>
        <v>0</v>
      </c>
      <c r="H51" s="3">
        <f>((H46+459.6)-(Parameters!B6+459.6))*I9</f>
        <v>0</v>
      </c>
      <c r="I51" s="3">
        <f>((I46+459.6)-(Parameters!B6+459.6))*J9</f>
        <v>0</v>
      </c>
      <c r="J51" s="2" t="s">
        <v>2</v>
      </c>
    </row>
    <row r="52" spans="1:16">
      <c r="A52" t="s">
        <v>13</v>
      </c>
      <c r="D52" s="3">
        <f t="shared" ref="D52:I52" si="5">D46-D51</f>
        <v>70</v>
      </c>
      <c r="E52" s="3">
        <f t="shared" si="5"/>
        <v>70</v>
      </c>
      <c r="F52" s="3">
        <f t="shared" si="5"/>
        <v>70</v>
      </c>
      <c r="G52" s="3">
        <f t="shared" si="5"/>
        <v>70</v>
      </c>
      <c r="H52" s="3">
        <f t="shared" si="5"/>
        <v>70</v>
      </c>
      <c r="I52" s="3">
        <f t="shared" si="5"/>
        <v>70</v>
      </c>
      <c r="J52" s="2" t="s">
        <v>2</v>
      </c>
    </row>
    <row r="53" spans="1:16">
      <c r="A53" t="s">
        <v>12</v>
      </c>
      <c r="D53" s="6">
        <f>(D50)*Parameters!B14/(10.73*(459.6+D52))</f>
        <v>7.2415693639258594E-2</v>
      </c>
      <c r="E53" s="6">
        <f>(E50)*Parameters!B14/(10.73*(459.6+E52))</f>
        <v>7.2415693639258594E-2</v>
      </c>
      <c r="F53" s="6">
        <f>(F50)*Parameters!B14/(10.73*(459.6+F52))</f>
        <v>7.2415693639258594E-2</v>
      </c>
      <c r="G53" s="6">
        <f>(G50)*Parameters!B14/(10.73*(459.6+G52))</f>
        <v>7.2415693639258594E-2</v>
      </c>
      <c r="H53" s="6">
        <f>(H50)*Parameters!B14/(10.73*(459.6+H52))</f>
        <v>7.2415693639258594E-2</v>
      </c>
      <c r="I53" s="6">
        <f>(I50)*Parameters!B14/(10.73*(459.6+I52))</f>
        <v>7.2415693639258594E-2</v>
      </c>
      <c r="J53" s="2" t="s">
        <v>8</v>
      </c>
      <c r="P53" s="1"/>
    </row>
    <row r="54" spans="1:16">
      <c r="A54"/>
      <c r="P54" s="1"/>
    </row>
    <row r="55" spans="1:16">
      <c r="A55" s="5" t="s">
        <v>11</v>
      </c>
    </row>
    <row r="56" spans="1:16">
      <c r="A56" t="s">
        <v>9</v>
      </c>
      <c r="D56" s="4">
        <f t="shared" ref="D56:I56" si="6">D50</f>
        <v>14.19</v>
      </c>
      <c r="E56" s="4">
        <f t="shared" si="6"/>
        <v>14.19</v>
      </c>
      <c r="F56" s="4">
        <f t="shared" si="6"/>
        <v>14.19</v>
      </c>
      <c r="G56" s="4">
        <f t="shared" si="6"/>
        <v>14.19</v>
      </c>
      <c r="H56" s="4">
        <f t="shared" si="6"/>
        <v>14.19</v>
      </c>
      <c r="I56" s="4">
        <f t="shared" si="6"/>
        <v>14.19</v>
      </c>
      <c r="J56" s="2" t="s">
        <v>0</v>
      </c>
    </row>
    <row r="57" spans="1:16">
      <c r="A57" t="s">
        <v>7</v>
      </c>
      <c r="D57" s="8">
        <f t="shared" ref="D57:I58" si="7">D52</f>
        <v>70</v>
      </c>
      <c r="E57" s="8">
        <f t="shared" si="7"/>
        <v>70</v>
      </c>
      <c r="F57" s="8">
        <f t="shared" si="7"/>
        <v>70</v>
      </c>
      <c r="G57" s="8">
        <f t="shared" si="7"/>
        <v>70</v>
      </c>
      <c r="H57" s="8">
        <f t="shared" si="7"/>
        <v>70</v>
      </c>
      <c r="I57" s="8">
        <f t="shared" si="7"/>
        <v>70</v>
      </c>
      <c r="J57" s="2" t="s">
        <v>2</v>
      </c>
    </row>
    <row r="58" spans="1:16">
      <c r="A58" t="s">
        <v>10</v>
      </c>
      <c r="D58" s="6">
        <f t="shared" si="7"/>
        <v>7.2415693639258594E-2</v>
      </c>
      <c r="E58" s="6">
        <f t="shared" si="7"/>
        <v>7.2415693639258594E-2</v>
      </c>
      <c r="F58" s="6">
        <f t="shared" si="7"/>
        <v>7.2415693639258594E-2</v>
      </c>
      <c r="G58" s="6">
        <f t="shared" si="7"/>
        <v>7.2415693639258594E-2</v>
      </c>
      <c r="H58" s="6">
        <f t="shared" si="7"/>
        <v>7.2415693639258594E-2</v>
      </c>
      <c r="I58" s="6">
        <f t="shared" si="7"/>
        <v>7.2415693639258594E-2</v>
      </c>
      <c r="J58" s="2" t="s">
        <v>8</v>
      </c>
    </row>
    <row r="59" spans="1:16">
      <c r="A59" t="s">
        <v>15</v>
      </c>
      <c r="D59" s="4">
        <f t="shared" ref="D59:I59" si="8">D56*E8</f>
        <v>24.122999999999998</v>
      </c>
      <c r="E59" s="4">
        <f t="shared" si="8"/>
        <v>27.244799999999998</v>
      </c>
      <c r="F59" s="4">
        <f t="shared" si="8"/>
        <v>27.244799999999998</v>
      </c>
      <c r="G59" s="4">
        <f t="shared" si="8"/>
        <v>27.244799999999998</v>
      </c>
      <c r="H59" s="4">
        <f t="shared" si="8"/>
        <v>27.244799999999998</v>
      </c>
      <c r="I59" s="4">
        <f t="shared" si="8"/>
        <v>27.244799999999998</v>
      </c>
      <c r="J59" s="2" t="s">
        <v>0</v>
      </c>
    </row>
    <row r="60" spans="1:16">
      <c r="A60" t="s">
        <v>57</v>
      </c>
      <c r="D60" s="3">
        <f>((E8^0.283 - 1) * (D57+459.6))/Parameters!B8</f>
        <v>122.58667021464399</v>
      </c>
      <c r="E60" s="3">
        <f>((F8^0.283 - 1) * (E57+459.6))/Parameters!B8</f>
        <v>153.3925149397941</v>
      </c>
      <c r="F60" s="3">
        <f>((G8^0.283 - 1) * (F57+459.6))/Parameters!B8</f>
        <v>153.3925149397941</v>
      </c>
      <c r="G60" s="3">
        <f>((H8^0.283 - 1) * (G57+459.6))/Parameters!B8</f>
        <v>153.3925149397941</v>
      </c>
      <c r="H60" s="3">
        <f>((I8^0.283 - 1) * (H57+459.6))/Parameters!B8</f>
        <v>153.3925149397941</v>
      </c>
      <c r="I60" s="3">
        <f>((J8^0.283 - 1) * (I57+459.6))/Parameters!B8</f>
        <v>153.3925149397941</v>
      </c>
      <c r="J60" s="2" t="s">
        <v>2</v>
      </c>
    </row>
    <row r="61" spans="1:16">
      <c r="A61" t="s">
        <v>13</v>
      </c>
      <c r="D61" s="3">
        <f t="shared" ref="D61:I61" si="9">D60+D57</f>
        <v>192.58667021464399</v>
      </c>
      <c r="E61" s="3">
        <f t="shared" si="9"/>
        <v>223.3925149397941</v>
      </c>
      <c r="F61" s="3">
        <f t="shared" si="9"/>
        <v>223.3925149397941</v>
      </c>
      <c r="G61" s="3">
        <f t="shared" si="9"/>
        <v>223.3925149397941</v>
      </c>
      <c r="H61" s="3">
        <f t="shared" si="9"/>
        <v>223.3925149397941</v>
      </c>
      <c r="I61" s="3">
        <f t="shared" si="9"/>
        <v>223.3925149397941</v>
      </c>
      <c r="J61" s="2" t="s">
        <v>2</v>
      </c>
    </row>
    <row r="62" spans="1:16">
      <c r="A62" t="s">
        <v>12</v>
      </c>
      <c r="D62" s="6">
        <f>(D59)*Parameters!B14/(10.73*(459.6+D61))</f>
        <v>9.9967233730551289E-2</v>
      </c>
      <c r="E62" s="6">
        <f>(E59)*Parameters!B14/(10.73*(459.6+E61))</f>
        <v>0.10781171533202744</v>
      </c>
      <c r="F62" s="6">
        <f>(F59)*Parameters!B14/(10.73*(459.6+F61))</f>
        <v>0.10781171533202744</v>
      </c>
      <c r="G62" s="6">
        <f>(G59)*Parameters!B14/(10.73*(459.6+G61))</f>
        <v>0.10781171533202744</v>
      </c>
      <c r="H62" s="6">
        <f>(H59)*Parameters!B14/(10.73*(459.6+H61))</f>
        <v>0.10781171533202744</v>
      </c>
      <c r="I62" s="6">
        <f>(I59)*Parameters!B14/(10.73*(459.6+I61))</f>
        <v>0.10781171533202744</v>
      </c>
      <c r="J62" s="2" t="s">
        <v>8</v>
      </c>
      <c r="K62"/>
    </row>
    <row r="63" spans="1:16">
      <c r="A63"/>
      <c r="D63" s="3"/>
      <c r="E63" s="3"/>
      <c r="F63" s="3"/>
      <c r="G63" s="3"/>
      <c r="H63" s="3"/>
      <c r="I63" s="3"/>
      <c r="K63"/>
    </row>
    <row r="64" spans="1:16">
      <c r="A64" s="5" t="s">
        <v>22</v>
      </c>
      <c r="K64"/>
    </row>
    <row r="65" spans="1:11">
      <c r="A65" t="s">
        <v>15</v>
      </c>
      <c r="D65" s="4">
        <f>D59-Parameters!B12</f>
        <v>23.872999999999998</v>
      </c>
      <c r="E65" s="4">
        <f>E59-Parameters!B12</f>
        <v>26.994799999999998</v>
      </c>
      <c r="F65" s="4">
        <f>F59-Parameters!B12</f>
        <v>26.994799999999998</v>
      </c>
      <c r="G65" s="4">
        <f>G59-Parameters!B12</f>
        <v>26.994799999999998</v>
      </c>
      <c r="H65" s="4">
        <f>H59-Parameters!B12</f>
        <v>26.994799999999998</v>
      </c>
      <c r="I65" s="4">
        <f>I59-Parameters!B12</f>
        <v>26.994799999999998</v>
      </c>
      <c r="J65" s="2" t="s">
        <v>0</v>
      </c>
      <c r="K65"/>
    </row>
    <row r="66" spans="1:11">
      <c r="A66" t="s">
        <v>16</v>
      </c>
      <c r="D66" s="3">
        <f>((D61+459.6)-(Parameters!B6+459.6))*E10</f>
        <v>0</v>
      </c>
      <c r="E66" s="3">
        <f>((E61+459.6)-(Parameters!B6+459.6))*F10</f>
        <v>0</v>
      </c>
      <c r="F66" s="3">
        <f>((F61+459.6)-(Parameters!B6+459.6))*G10</f>
        <v>0</v>
      </c>
      <c r="G66" s="3">
        <f>((G61+459.6)-(Parameters!B6+459.6))*H10</f>
        <v>0</v>
      </c>
      <c r="H66" s="3">
        <f>((H61+459.6)-(Parameters!B6+459.6))*I10</f>
        <v>0</v>
      </c>
      <c r="I66" s="3">
        <f>((I61+459.6)-(Parameters!B6+459.6))*J10</f>
        <v>0</v>
      </c>
      <c r="J66" s="2" t="s">
        <v>2</v>
      </c>
      <c r="K66"/>
    </row>
    <row r="67" spans="1:11">
      <c r="A67" t="s">
        <v>13</v>
      </c>
      <c r="D67" s="3">
        <f t="shared" ref="D67:I67" si="10">D61-D66</f>
        <v>192.58667021464399</v>
      </c>
      <c r="E67" s="3">
        <f t="shared" si="10"/>
        <v>223.3925149397941</v>
      </c>
      <c r="F67" s="3">
        <f t="shared" si="10"/>
        <v>223.3925149397941</v>
      </c>
      <c r="G67" s="3">
        <f t="shared" si="10"/>
        <v>223.3925149397941</v>
      </c>
      <c r="H67" s="3">
        <f t="shared" si="10"/>
        <v>223.3925149397941</v>
      </c>
      <c r="I67" s="3">
        <f t="shared" si="10"/>
        <v>223.3925149397941</v>
      </c>
      <c r="J67" s="2" t="s">
        <v>2</v>
      </c>
      <c r="K67"/>
    </row>
    <row r="68" spans="1:11">
      <c r="A68" t="s">
        <v>12</v>
      </c>
      <c r="D68" s="6">
        <f>(D65)*Parameters!B14/(10.73*(459.6+D67))</f>
        <v>9.8931217960015375E-2</v>
      </c>
      <c r="E68" s="6">
        <f>(E65)*Parameters!B14/(10.73*(459.6+E67))</f>
        <v>0.10682242824483991</v>
      </c>
      <c r="F68" s="6">
        <f>(F65)*Parameters!B14/(10.73*(459.6+F67))</f>
        <v>0.10682242824483991</v>
      </c>
      <c r="G68" s="6">
        <f>(G65)*Parameters!B14/(10.73*(459.6+G67))</f>
        <v>0.10682242824483991</v>
      </c>
      <c r="H68" s="6">
        <f>(H65)*Parameters!B14/(10.73*(459.6+H67))</f>
        <v>0.10682242824483991</v>
      </c>
      <c r="I68" s="6">
        <f>(I65)*Parameters!B14/(10.73*(459.6+I67))</f>
        <v>0.10682242824483991</v>
      </c>
      <c r="J68" s="2" t="s">
        <v>8</v>
      </c>
      <c r="K68"/>
    </row>
    <row r="69" spans="1:11">
      <c r="E69"/>
      <c r="F69"/>
      <c r="G69"/>
      <c r="H69"/>
      <c r="I69"/>
      <c r="J69"/>
      <c r="K69"/>
    </row>
    <row r="70" spans="1:11">
      <c r="E70"/>
      <c r="F70"/>
      <c r="G70"/>
      <c r="H70"/>
      <c r="I70"/>
      <c r="J70"/>
      <c r="K70"/>
    </row>
    <row r="71" spans="1:11">
      <c r="A71" s="5" t="s">
        <v>60</v>
      </c>
      <c r="E71"/>
      <c r="F71"/>
      <c r="G71"/>
      <c r="H71"/>
      <c r="I71"/>
      <c r="J71"/>
      <c r="K71"/>
    </row>
    <row r="72" spans="1:11">
      <c r="A72" t="s">
        <v>59</v>
      </c>
      <c r="D72" s="3">
        <f t="shared" ref="D72:I73" si="11">(E7*14.69)-14.69</f>
        <v>0</v>
      </c>
      <c r="E72" s="3">
        <f t="shared" si="11"/>
        <v>0</v>
      </c>
      <c r="F72" s="3">
        <f t="shared" si="11"/>
        <v>0</v>
      </c>
      <c r="G72" s="3">
        <f t="shared" si="11"/>
        <v>0</v>
      </c>
      <c r="H72" s="3">
        <f t="shared" si="11"/>
        <v>0</v>
      </c>
      <c r="I72" s="3">
        <f t="shared" si="11"/>
        <v>0</v>
      </c>
      <c r="J72" t="s">
        <v>1</v>
      </c>
      <c r="K72"/>
    </row>
    <row r="73" spans="1:11">
      <c r="A73" t="s">
        <v>58</v>
      </c>
      <c r="D73" s="3">
        <f t="shared" si="11"/>
        <v>10.282999999999999</v>
      </c>
      <c r="E73" s="3">
        <f t="shared" si="11"/>
        <v>13.514799999999999</v>
      </c>
      <c r="F73" s="3">
        <f t="shared" si="11"/>
        <v>13.514799999999999</v>
      </c>
      <c r="G73" s="3">
        <f t="shared" si="11"/>
        <v>13.514799999999999</v>
      </c>
      <c r="H73" s="3">
        <f t="shared" si="11"/>
        <v>13.514799999999999</v>
      </c>
      <c r="I73" s="3">
        <f t="shared" si="11"/>
        <v>13.514799999999999</v>
      </c>
      <c r="J73" t="s">
        <v>1</v>
      </c>
      <c r="K73"/>
    </row>
    <row r="74" spans="1:11">
      <c r="A74" t="s">
        <v>42</v>
      </c>
      <c r="D74" s="34">
        <f>D23/Parameters!B17</f>
        <v>0.52530969104395697</v>
      </c>
      <c r="E74" s="34">
        <f>E23/Parameters!B17</f>
        <v>0.67876751280575354</v>
      </c>
      <c r="F74" s="34">
        <f>F23/Parameters!B17</f>
        <v>0.84845939100719203</v>
      </c>
      <c r="G74" s="34">
        <f>G23/Parameters!B17</f>
        <v>1.0307210379642922</v>
      </c>
      <c r="H74" s="34">
        <f>H23/Parameters!B17</f>
        <v>1.1372498281685288</v>
      </c>
      <c r="I74" s="34">
        <f>I23/Parameters!B17</f>
        <v>1.1548475044264557</v>
      </c>
      <c r="J74" t="s">
        <v>18</v>
      </c>
      <c r="K74"/>
    </row>
  </sheetData>
  <dataConsolidate/>
  <mergeCells count="21">
    <mergeCell ref="B5:J5"/>
    <mergeCell ref="A1:K1"/>
    <mergeCell ref="B6:D6"/>
    <mergeCell ref="B7:D7"/>
    <mergeCell ref="B8:D8"/>
    <mergeCell ref="B9:D9"/>
    <mergeCell ref="B10:D10"/>
    <mergeCell ref="B11:D11"/>
    <mergeCell ref="B12:D12"/>
    <mergeCell ref="B17:C17"/>
    <mergeCell ref="B13:J13"/>
    <mergeCell ref="B20:C20"/>
    <mergeCell ref="B16:J16"/>
    <mergeCell ref="A40:G40"/>
    <mergeCell ref="B18:C18"/>
    <mergeCell ref="B21:C21"/>
    <mergeCell ref="B22:C22"/>
    <mergeCell ref="B23:C23"/>
    <mergeCell ref="B24:C24"/>
    <mergeCell ref="B25:C25"/>
    <mergeCell ref="B26:C26"/>
  </mergeCells>
  <pageMargins left="0.25" right="0.25" top="0.75" bottom="0.75" header="0.3" footer="0.3"/>
  <pageSetup orientation="portrait" r:id="rId1"/>
  <drawing r:id="rId2"/>
  <webPublishItems count="1">
    <webPublishItem id="29085" divId="CompoundCalculator_29085" sourceType="sheet" destinationFile="C:\Documents and Settings\jrobbins\My Documents\CompoundCalculator.mht"/>
  </webPublishItems>
</worksheet>
</file>

<file path=xl/worksheets/sheet3.xml><?xml version="1.0" encoding="utf-8"?>
<worksheet xmlns="http://schemas.openxmlformats.org/spreadsheetml/2006/main" xmlns:r="http://schemas.openxmlformats.org/officeDocument/2006/relationships">
  <dimension ref="A1:V74"/>
  <sheetViews>
    <sheetView zoomScale="85" zoomScaleNormal="85" workbookViewId="0">
      <selection activeCell="L27" sqref="L27"/>
    </sheetView>
  </sheetViews>
  <sheetFormatPr defaultRowHeight="15"/>
  <cols>
    <col min="1" max="1" width="11.7109375" style="2" customWidth="1"/>
    <col min="2" max="2" width="8.28515625" style="2" customWidth="1"/>
    <col min="3" max="3" width="9.42578125" style="2" customWidth="1"/>
    <col min="4" max="10" width="8.28515625" style="2" customWidth="1"/>
    <col min="11" max="11" width="11.42578125" style="2" customWidth="1"/>
    <col min="12" max="13" width="9.140625" style="2" customWidth="1"/>
    <col min="14" max="28" width="9" style="2" customWidth="1"/>
    <col min="29" max="16384" width="9.140625" style="2"/>
  </cols>
  <sheetData>
    <row r="1" spans="1:22" ht="93" customHeight="1">
      <c r="A1" s="99" t="s">
        <v>50</v>
      </c>
      <c r="B1" s="99"/>
      <c r="C1" s="99"/>
      <c r="D1" s="99"/>
      <c r="E1" s="99"/>
      <c r="F1" s="99"/>
      <c r="G1" s="99"/>
      <c r="H1" s="99"/>
      <c r="I1" s="99"/>
      <c r="J1" s="99"/>
      <c r="K1" s="99"/>
      <c r="L1" s="33"/>
      <c r="M1" s="33"/>
      <c r="N1" s="33"/>
      <c r="O1" s="26"/>
      <c r="P1" s="26"/>
    </row>
    <row r="2" spans="1:22" ht="15" customHeight="1">
      <c r="A2" s="43"/>
      <c r="B2" s="43"/>
      <c r="C2" s="43"/>
      <c r="D2" s="43"/>
      <c r="E2" s="43"/>
      <c r="F2" s="43"/>
      <c r="G2" s="43"/>
      <c r="H2" s="43"/>
      <c r="I2" s="43"/>
      <c r="J2" s="43"/>
      <c r="K2" s="33"/>
      <c r="L2" s="33"/>
      <c r="M2" s="33"/>
      <c r="N2" s="33"/>
      <c r="O2" s="26"/>
      <c r="P2" s="26"/>
    </row>
    <row r="3" spans="1:22" ht="3" customHeight="1">
      <c r="A3" s="54"/>
      <c r="B3" s="54"/>
      <c r="C3" s="54"/>
      <c r="D3" s="54"/>
      <c r="E3" s="54"/>
      <c r="F3" s="54"/>
      <c r="G3" s="54"/>
      <c r="H3" s="54"/>
      <c r="I3" s="54"/>
      <c r="J3" s="54"/>
      <c r="K3" s="55"/>
      <c r="L3" s="33"/>
      <c r="M3" s="33"/>
      <c r="N3" s="33"/>
      <c r="O3" s="26"/>
      <c r="P3" s="26"/>
    </row>
    <row r="4" spans="1:22" ht="15" customHeight="1" thickBot="1">
      <c r="A4" s="43"/>
      <c r="B4" s="43"/>
      <c r="C4" s="43"/>
      <c r="D4" s="43"/>
      <c r="E4" s="43"/>
      <c r="F4" s="43"/>
      <c r="G4" s="43"/>
      <c r="H4" s="43"/>
      <c r="I4" s="43"/>
      <c r="J4" s="43"/>
      <c r="K4" s="33"/>
      <c r="L4" s="33"/>
      <c r="M4" s="33"/>
      <c r="N4" s="33"/>
      <c r="O4" s="26"/>
      <c r="P4" s="26"/>
    </row>
    <row r="5" spans="1:22" ht="15" customHeight="1" thickTop="1" thickBot="1">
      <c r="A5" s="33"/>
      <c r="B5" s="96" t="s">
        <v>63</v>
      </c>
      <c r="C5" s="97"/>
      <c r="D5" s="97"/>
      <c r="E5" s="97"/>
      <c r="F5" s="97"/>
      <c r="G5" s="97"/>
      <c r="H5" s="97"/>
      <c r="I5" s="97"/>
      <c r="J5" s="98"/>
      <c r="K5" s="33"/>
      <c r="L5" s="33"/>
      <c r="M5" s="33"/>
      <c r="N5" s="33"/>
      <c r="O5" s="26"/>
      <c r="P5" s="26"/>
    </row>
    <row r="6" spans="1:22" ht="15" customHeight="1" thickTop="1">
      <c r="A6" s="33"/>
      <c r="B6" s="100" t="s">
        <v>5</v>
      </c>
      <c r="C6" s="101"/>
      <c r="D6" s="101"/>
      <c r="E6" s="44">
        <v>1900</v>
      </c>
      <c r="F6" s="44">
        <v>2400</v>
      </c>
      <c r="G6" s="44">
        <v>3000</v>
      </c>
      <c r="H6" s="44">
        <v>4000</v>
      </c>
      <c r="I6" s="44">
        <v>4700</v>
      </c>
      <c r="J6" s="48">
        <v>5250</v>
      </c>
      <c r="L6" s="25"/>
      <c r="M6" s="25"/>
      <c r="N6" s="25"/>
      <c r="O6" s="26"/>
      <c r="P6" s="26"/>
    </row>
    <row r="7" spans="1:22" ht="15" customHeight="1">
      <c r="A7" s="33"/>
      <c r="B7" s="102" t="s">
        <v>51</v>
      </c>
      <c r="C7" s="103"/>
      <c r="D7" s="103"/>
      <c r="E7" s="31">
        <v>1</v>
      </c>
      <c r="F7" s="31">
        <v>1</v>
      </c>
      <c r="G7" s="31">
        <v>1</v>
      </c>
      <c r="H7" s="31">
        <v>1</v>
      </c>
      <c r="I7" s="31">
        <v>1</v>
      </c>
      <c r="J7" s="49">
        <v>1</v>
      </c>
      <c r="L7" s="32"/>
      <c r="M7" s="32"/>
      <c r="N7" s="32"/>
    </row>
    <row r="8" spans="1:22" ht="15" customHeight="1">
      <c r="A8" s="33"/>
      <c r="B8" s="102" t="s">
        <v>52</v>
      </c>
      <c r="C8" s="103"/>
      <c r="D8" s="103"/>
      <c r="E8" s="31">
        <v>1.7</v>
      </c>
      <c r="F8" s="31">
        <v>1.92</v>
      </c>
      <c r="G8" s="31">
        <v>1.92</v>
      </c>
      <c r="H8" s="31">
        <v>1.92</v>
      </c>
      <c r="I8" s="31">
        <v>1.92</v>
      </c>
      <c r="J8" s="49">
        <v>1.92</v>
      </c>
    </row>
    <row r="9" spans="1:22" ht="15" customHeight="1">
      <c r="A9" s="33"/>
      <c r="B9" s="87" t="s">
        <v>24</v>
      </c>
      <c r="C9" s="88"/>
      <c r="D9" s="88"/>
      <c r="E9" s="12">
        <v>0</v>
      </c>
      <c r="F9" s="12">
        <v>0</v>
      </c>
      <c r="G9" s="12">
        <v>0</v>
      </c>
      <c r="H9" s="12">
        <v>0</v>
      </c>
      <c r="I9" s="12">
        <v>0</v>
      </c>
      <c r="J9" s="50">
        <v>0</v>
      </c>
    </row>
    <row r="10" spans="1:22" ht="15" customHeight="1">
      <c r="A10" s="33"/>
      <c r="B10" s="87" t="s">
        <v>25</v>
      </c>
      <c r="C10" s="88"/>
      <c r="D10" s="88"/>
      <c r="E10" s="12">
        <v>0.7</v>
      </c>
      <c r="F10" s="12">
        <v>0.7</v>
      </c>
      <c r="G10" s="12">
        <v>0.7</v>
      </c>
      <c r="H10" s="12">
        <v>0.7</v>
      </c>
      <c r="I10" s="12">
        <v>0.7</v>
      </c>
      <c r="J10" s="50">
        <v>0.7</v>
      </c>
    </row>
    <row r="11" spans="1:22" ht="15" customHeight="1">
      <c r="B11" s="89" t="s">
        <v>37</v>
      </c>
      <c r="C11" s="90"/>
      <c r="D11" s="90"/>
      <c r="E11" s="13">
        <v>0.44400000000000001</v>
      </c>
      <c r="F11" s="13">
        <v>0.44400000000000001</v>
      </c>
      <c r="G11" s="13">
        <v>0.44400000000000001</v>
      </c>
      <c r="H11" s="13">
        <v>0.44400000000000001</v>
      </c>
      <c r="I11" s="13">
        <v>0.46</v>
      </c>
      <c r="J11" s="51">
        <v>0.5</v>
      </c>
    </row>
    <row r="12" spans="1:22" ht="15" customHeight="1" thickBot="1">
      <c r="B12" s="91" t="s">
        <v>6</v>
      </c>
      <c r="C12" s="92"/>
      <c r="D12" s="92"/>
      <c r="E12" s="52">
        <v>0.95</v>
      </c>
      <c r="F12" s="52">
        <v>0.9</v>
      </c>
      <c r="G12" s="52">
        <v>0.9</v>
      </c>
      <c r="H12" s="52">
        <v>0.82</v>
      </c>
      <c r="I12" s="52">
        <v>0.77</v>
      </c>
      <c r="J12" s="53">
        <v>0.7</v>
      </c>
      <c r="L12" s="39"/>
      <c r="M12" s="39"/>
      <c r="U12" s="11"/>
      <c r="V12" s="11"/>
    </row>
    <row r="13" spans="1:22" ht="48.75" customHeight="1" thickTop="1">
      <c r="B13" s="95" t="s">
        <v>73</v>
      </c>
      <c r="C13" s="95"/>
      <c r="D13" s="95"/>
      <c r="E13" s="95"/>
      <c r="F13" s="95"/>
      <c r="G13" s="95"/>
      <c r="H13" s="95"/>
      <c r="I13" s="95"/>
      <c r="J13" s="95"/>
      <c r="K13" s="39"/>
      <c r="L13" s="39"/>
      <c r="M13" s="39"/>
      <c r="N13" s="38"/>
      <c r="U13" s="9"/>
      <c r="V13" s="9"/>
    </row>
    <row r="14" spans="1:22" ht="3" customHeight="1">
      <c r="A14" s="54"/>
      <c r="B14" s="54"/>
      <c r="C14" s="54"/>
      <c r="D14" s="54"/>
      <c r="E14" s="54"/>
      <c r="F14" s="54"/>
      <c r="G14" s="54"/>
      <c r="H14" s="54"/>
      <c r="I14" s="54"/>
      <c r="J14" s="54"/>
      <c r="K14" s="55"/>
      <c r="L14" s="39"/>
      <c r="M14" s="39"/>
      <c r="N14" s="38"/>
      <c r="U14" s="9"/>
      <c r="V14" s="9"/>
    </row>
    <row r="15" spans="1:22" ht="14.25" customHeight="1" thickBot="1">
      <c r="U15"/>
    </row>
    <row r="16" spans="1:22" ht="15" customHeight="1" thickTop="1" thickBot="1">
      <c r="B16" s="71" t="s">
        <v>46</v>
      </c>
      <c r="C16" s="72"/>
      <c r="D16" s="72"/>
      <c r="E16" s="72"/>
      <c r="F16" s="72"/>
      <c r="G16" s="72"/>
      <c r="H16" s="72"/>
      <c r="I16" s="72"/>
      <c r="J16" s="73"/>
      <c r="K16" s="9"/>
      <c r="U16"/>
    </row>
    <row r="17" spans="1:21" ht="18.75" customHeight="1">
      <c r="B17" s="93" t="s">
        <v>40</v>
      </c>
      <c r="C17" s="94"/>
      <c r="D17" s="66">
        <f t="shared" ref="D17:I17" si="0">D74*60/E11</f>
        <v>81.041903159961294</v>
      </c>
      <c r="E17" s="66">
        <f t="shared" si="0"/>
        <v>107.9169756167032</v>
      </c>
      <c r="F17" s="66">
        <f t="shared" si="0"/>
        <v>134.89621952087899</v>
      </c>
      <c r="G17" s="66">
        <f t="shared" si="0"/>
        <v>163.87392593647522</v>
      </c>
      <c r="H17" s="66">
        <f t="shared" si="0"/>
        <v>174.52182108699765</v>
      </c>
      <c r="I17" s="66">
        <f t="shared" si="0"/>
        <v>163.04456399423572</v>
      </c>
      <c r="J17" s="67" t="s">
        <v>39</v>
      </c>
      <c r="K17" s="9"/>
      <c r="U17"/>
    </row>
    <row r="18" spans="1:21" ht="18.75" customHeight="1" thickBot="1">
      <c r="B18" s="75" t="s">
        <v>38</v>
      </c>
      <c r="C18" s="76"/>
      <c r="D18" s="64">
        <f t="shared" ref="D18:I18" si="1">D17*5252/E6</f>
        <v>224.01688178742984</v>
      </c>
      <c r="E18" s="64">
        <f t="shared" si="1"/>
        <v>236.15831497455216</v>
      </c>
      <c r="F18" s="64">
        <f t="shared" si="1"/>
        <v>236.15831497455213</v>
      </c>
      <c r="G18" s="64">
        <f t="shared" si="1"/>
        <v>215.16646475459197</v>
      </c>
      <c r="H18" s="64">
        <f t="shared" si="1"/>
        <v>195.01885198913016</v>
      </c>
      <c r="I18" s="64">
        <f t="shared" si="1"/>
        <v>163.10667620909066</v>
      </c>
      <c r="J18" s="65" t="s">
        <v>41</v>
      </c>
      <c r="K18" s="9"/>
      <c r="U18"/>
    </row>
    <row r="19" spans="1:21" ht="15" customHeight="1" thickBot="1">
      <c r="A19"/>
      <c r="B19"/>
      <c r="C19"/>
      <c r="D19"/>
      <c r="E19"/>
      <c r="F19"/>
      <c r="G19"/>
      <c r="H19"/>
      <c r="I19"/>
      <c r="J19"/>
      <c r="K19"/>
      <c r="U19"/>
    </row>
    <row r="20" spans="1:21" ht="15" customHeight="1" thickTop="1">
      <c r="B20" s="69" t="s">
        <v>26</v>
      </c>
      <c r="C20" s="70"/>
      <c r="D20" s="56">
        <f>D65-Parameters!B4</f>
        <v>9.1829999999999981</v>
      </c>
      <c r="E20" s="56">
        <f>E65-Parameters!B4</f>
        <v>12.304799999999998</v>
      </c>
      <c r="F20" s="56">
        <f>F65-Parameters!B4</f>
        <v>12.304799999999998</v>
      </c>
      <c r="G20" s="56">
        <f>G65-Parameters!B4</f>
        <v>12.304799999999998</v>
      </c>
      <c r="H20" s="56">
        <f>H65-Parameters!B4</f>
        <v>12.304799999999998</v>
      </c>
      <c r="I20" s="56">
        <f>I65-Parameters!B4</f>
        <v>12.304799999999998</v>
      </c>
      <c r="J20" s="57" t="s">
        <v>1</v>
      </c>
      <c r="K20" s="9"/>
      <c r="U20"/>
    </row>
    <row r="21" spans="1:21" ht="15" customHeight="1">
      <c r="B21" s="77" t="s">
        <v>48</v>
      </c>
      <c r="C21" s="78"/>
      <c r="D21" s="58">
        <f>Parameters!B16*D24</f>
        <v>11.193001528719252</v>
      </c>
      <c r="E21" s="58">
        <f>Parameters!B16*E24</f>
        <v>14.904818691983614</v>
      </c>
      <c r="F21" s="58">
        <f>Parameters!B16*F24</f>
        <v>18.631023364979519</v>
      </c>
      <c r="G21" s="58">
        <f>Parameters!B16*G24</f>
        <v>22.633243198938082</v>
      </c>
      <c r="H21" s="58">
        <f>Parameters!B16*H24</f>
        <v>24.972471688096622</v>
      </c>
      <c r="I21" s="58">
        <f>Parameters!B16*I24</f>
        <v>25.358892913444343</v>
      </c>
      <c r="J21" s="59" t="s">
        <v>18</v>
      </c>
      <c r="K21" s="9"/>
      <c r="U21"/>
    </row>
    <row r="22" spans="1:21" ht="15" customHeight="1">
      <c r="B22" s="79" t="s">
        <v>49</v>
      </c>
      <c r="C22" s="80"/>
      <c r="D22" s="60">
        <f>Parameters!B16*D25</f>
        <v>11.390200287153347</v>
      </c>
      <c r="E22" s="60">
        <f>Parameters!B16*E25</f>
        <v>15.167412396916376</v>
      </c>
      <c r="F22" s="60">
        <f>Parameters!B16*F25</f>
        <v>18.959265496145473</v>
      </c>
      <c r="G22" s="60">
        <f>Parameters!B16*G25</f>
        <v>23.031996602724867</v>
      </c>
      <c r="H22" s="60">
        <f>Parameters!B16*H25</f>
        <v>25.41243771501869</v>
      </c>
      <c r="I22" s="60">
        <f>Parameters!B16*I25</f>
        <v>25.805666925309112</v>
      </c>
      <c r="J22" s="61" t="s">
        <v>18</v>
      </c>
      <c r="K22" s="9"/>
      <c r="U22"/>
    </row>
    <row r="23" spans="1:21" ht="15" customHeight="1">
      <c r="B23" s="81" t="s">
        <v>56</v>
      </c>
      <c r="C23" s="82"/>
      <c r="D23" s="62">
        <f>Parameters!B3/2/1728*D68*E6*E12</f>
        <v>10.794781500906844</v>
      </c>
      <c r="E23" s="62">
        <f>Parameters!B3/2/1728*E68*F6*F12</f>
        <v>14.374541152144864</v>
      </c>
      <c r="F23" s="62">
        <f>Parameters!B3/2/1728*F68*G6*G12</f>
        <v>17.968176440181082</v>
      </c>
      <c r="G23" s="62">
        <f>Parameters!B3/2/1728*G68*H6*H12</f>
        <v>21.828006934738497</v>
      </c>
      <c r="H23" s="62">
        <f>Parameters!B3/2/1728*H68*I6*I12</f>
        <v>24.084011310005678</v>
      </c>
      <c r="I23" s="62">
        <f>Parameters!B3/2/1728*I68*J6*J12</f>
        <v>24.456684599135357</v>
      </c>
      <c r="J23" s="63" t="s">
        <v>18</v>
      </c>
      <c r="P23"/>
      <c r="U23"/>
    </row>
    <row r="24" spans="1:21" ht="15" customHeight="1">
      <c r="B24" s="83" t="s">
        <v>34</v>
      </c>
      <c r="C24" s="84"/>
      <c r="D24" s="37">
        <f t="shared" ref="D24:I24" si="2">D23/D43</f>
        <v>146.4860820405608</v>
      </c>
      <c r="E24" s="37">
        <f t="shared" si="2"/>
        <v>195.06371799481238</v>
      </c>
      <c r="F24" s="37">
        <f t="shared" si="2"/>
        <v>243.82964749351549</v>
      </c>
      <c r="G24" s="37">
        <f t="shared" si="2"/>
        <v>296.20786806619657</v>
      </c>
      <c r="H24" s="37">
        <f t="shared" si="2"/>
        <v>326.82203491816017</v>
      </c>
      <c r="I24" s="37">
        <f t="shared" si="2"/>
        <v>331.87924242172937</v>
      </c>
      <c r="J24" s="45" t="s">
        <v>17</v>
      </c>
      <c r="P24"/>
      <c r="U24"/>
    </row>
    <row r="25" spans="1:21" ht="15" customHeight="1">
      <c r="B25" s="83" t="s">
        <v>35</v>
      </c>
      <c r="C25" s="84"/>
      <c r="D25" s="37">
        <f t="shared" ref="D25:I25" si="3">D23/D53</f>
        <v>149.06687982140224</v>
      </c>
      <c r="E25" s="37">
        <f t="shared" si="3"/>
        <v>198.50035855145106</v>
      </c>
      <c r="F25" s="37">
        <f t="shared" si="3"/>
        <v>248.12544818931386</v>
      </c>
      <c r="G25" s="37">
        <f t="shared" si="3"/>
        <v>301.42647039294417</v>
      </c>
      <c r="H25" s="37">
        <f t="shared" si="3"/>
        <v>332.57999888782473</v>
      </c>
      <c r="I25" s="37">
        <f t="shared" si="3"/>
        <v>337.72630447989934</v>
      </c>
      <c r="J25" s="45" t="s">
        <v>17</v>
      </c>
      <c r="P25"/>
      <c r="U25"/>
    </row>
    <row r="26" spans="1:21" ht="15" customHeight="1" thickBot="1">
      <c r="B26" s="85" t="s">
        <v>43</v>
      </c>
      <c r="C26" s="86"/>
      <c r="D26" s="46">
        <f>(D17*793000)/(E6*Parameters!B3)</f>
        <v>184.8324107157012</v>
      </c>
      <c r="E26" s="46">
        <f>(E17*793000)/(F6*Parameters!B3)</f>
        <v>194.85009486349188</v>
      </c>
      <c r="F26" s="46">
        <f>(F17*793000)/(G6*Parameters!B3)</f>
        <v>194.85009486349188</v>
      </c>
      <c r="G26" s="46">
        <f>(G17*793000)/(H6*Parameters!B3)</f>
        <v>177.53008643118147</v>
      </c>
      <c r="H26" s="46">
        <f>(H17*793000)/(I6*Parameters!B3)</f>
        <v>160.90664355538789</v>
      </c>
      <c r="I26" s="46">
        <f>(I17*793000)/(J6*Parameters!B3)</f>
        <v>134.57646551905171</v>
      </c>
      <c r="J26" s="47" t="s">
        <v>44</v>
      </c>
      <c r="K26" s="41"/>
      <c r="P26"/>
      <c r="U26"/>
    </row>
    <row r="27" spans="1:21" ht="18.75" customHeight="1" thickTop="1">
      <c r="P27"/>
      <c r="U27"/>
    </row>
    <row r="28" spans="1:21" ht="18.75" customHeight="1">
      <c r="P28"/>
      <c r="U28"/>
    </row>
    <row r="29" spans="1:21" ht="18.75" customHeight="1">
      <c r="L29" s="9"/>
      <c r="M29" s="9"/>
      <c r="N29" s="9"/>
    </row>
    <row r="30" spans="1:21" ht="18.75" customHeight="1">
      <c r="L30" s="9"/>
      <c r="M30" s="9"/>
      <c r="N30" s="9"/>
    </row>
    <row r="31" spans="1:21" ht="18.75" customHeight="1">
      <c r="L31" s="9"/>
      <c r="M31" s="9"/>
      <c r="N31" s="9"/>
    </row>
    <row r="32" spans="1:21" ht="18.75" customHeight="1"/>
    <row r="33" spans="1:16" ht="18.75" customHeight="1"/>
    <row r="34" spans="1:16" ht="18.75" customHeight="1"/>
    <row r="35" spans="1:16" ht="18.75" customHeight="1"/>
    <row r="36" spans="1:16" ht="18.75" customHeight="1"/>
    <row r="37" spans="1:16" ht="18.75" customHeight="1"/>
    <row r="38" spans="1:16" ht="18.75" customHeight="1"/>
    <row r="40" spans="1:16" ht="18.75">
      <c r="A40" s="74" t="s">
        <v>47</v>
      </c>
      <c r="B40" s="74"/>
      <c r="C40" s="74"/>
      <c r="D40" s="74"/>
      <c r="E40" s="74"/>
      <c r="F40" s="74"/>
      <c r="G40" s="74"/>
    </row>
    <row r="41" spans="1:16">
      <c r="A41" s="5" t="s">
        <v>4</v>
      </c>
    </row>
    <row r="42" spans="1:16">
      <c r="A42" t="s">
        <v>9</v>
      </c>
      <c r="D42" s="4">
        <f>Parameters!B4-Parameters!B9</f>
        <v>14.44</v>
      </c>
      <c r="E42" s="4">
        <f>Parameters!B4-Parameters!B9</f>
        <v>14.44</v>
      </c>
      <c r="F42" s="4">
        <f>Parameters!B4-Parameters!B9</f>
        <v>14.44</v>
      </c>
      <c r="G42" s="4">
        <f>Parameters!B4-Parameters!B9</f>
        <v>14.44</v>
      </c>
      <c r="H42" s="4">
        <f>Parameters!B4-Parameters!B9</f>
        <v>14.44</v>
      </c>
      <c r="I42" s="4">
        <f>Parameters!B4-Parameters!B9</f>
        <v>14.44</v>
      </c>
      <c r="J42" s="2" t="s">
        <v>0</v>
      </c>
    </row>
    <row r="43" spans="1:16">
      <c r="A43" t="s">
        <v>10</v>
      </c>
      <c r="D43" s="6">
        <f>(D42)*Parameters!B14/(10.73*(459.6+Parameters!B5))</f>
        <v>7.3691516289703593E-2</v>
      </c>
      <c r="E43" s="6">
        <f>(E42)*Parameters!B14/(10.73*(459.6+Parameters!B5))</f>
        <v>7.3691516289703593E-2</v>
      </c>
      <c r="F43" s="6">
        <f>(F42)*Parameters!B14/(10.73*(459.6+Parameters!B5))</f>
        <v>7.3691516289703593E-2</v>
      </c>
      <c r="G43" s="6">
        <f>(G42)*Parameters!B14/(10.73*(459.6+Parameters!B5))</f>
        <v>7.3691516289703593E-2</v>
      </c>
      <c r="H43" s="6">
        <f>(H42)*Parameters!B14/(10.73*(459.6+Parameters!B5))</f>
        <v>7.3691516289703593E-2</v>
      </c>
      <c r="I43" s="6">
        <f>(I42)*Parameters!B14/(10.73*(459.6+Parameters!B5))</f>
        <v>7.3691516289703593E-2</v>
      </c>
      <c r="J43" s="2" t="s">
        <v>8</v>
      </c>
      <c r="P43" s="7"/>
    </row>
    <row r="44" spans="1:16">
      <c r="A44" t="s">
        <v>15</v>
      </c>
      <c r="D44" s="3">
        <f t="shared" ref="D44:I44" si="4">D42*E7</f>
        <v>14.44</v>
      </c>
      <c r="E44" s="3">
        <f t="shared" si="4"/>
        <v>14.44</v>
      </c>
      <c r="F44" s="3">
        <f t="shared" si="4"/>
        <v>14.44</v>
      </c>
      <c r="G44" s="3">
        <f t="shared" si="4"/>
        <v>14.44</v>
      </c>
      <c r="H44" s="3">
        <f t="shared" si="4"/>
        <v>14.44</v>
      </c>
      <c r="I44" s="3">
        <f t="shared" si="4"/>
        <v>14.44</v>
      </c>
      <c r="J44" s="2" t="s">
        <v>0</v>
      </c>
    </row>
    <row r="45" spans="1:16">
      <c r="A45" t="s">
        <v>14</v>
      </c>
      <c r="D45" s="3">
        <f>((E7^0.283 - 1) * (Parameters!B5+459.6))/Parameters!B7</f>
        <v>0</v>
      </c>
      <c r="E45" s="3">
        <f>((F7^0.283 - 1) * (Parameters!B5+459.6))/Parameters!B7</f>
        <v>0</v>
      </c>
      <c r="F45" s="3">
        <f>((G7^0.283 - 1) * (Parameters!B5+459.6))/Parameters!B7</f>
        <v>0</v>
      </c>
      <c r="G45" s="3">
        <f>((H7^0.283 - 1) * (Parameters!B5+459.6))/Parameters!B7</f>
        <v>0</v>
      </c>
      <c r="H45" s="3">
        <f>((I7^0.283 - 1) * (Parameters!B5+459.6))/Parameters!B7</f>
        <v>0</v>
      </c>
      <c r="I45" s="3">
        <f>((J7^0.283 - 1) * (Parameters!B5+459.6))/Parameters!B7</f>
        <v>0</v>
      </c>
      <c r="J45" s="2" t="s">
        <v>2</v>
      </c>
    </row>
    <row r="46" spans="1:16">
      <c r="A46" t="s">
        <v>13</v>
      </c>
      <c r="D46" s="3">
        <f>D45+Parameters!B5</f>
        <v>70</v>
      </c>
      <c r="E46" s="3">
        <f>E45+Parameters!B5</f>
        <v>70</v>
      </c>
      <c r="F46" s="3">
        <f>F45+Parameters!B5</f>
        <v>70</v>
      </c>
      <c r="G46" s="3">
        <f>G45+Parameters!B5</f>
        <v>70</v>
      </c>
      <c r="H46" s="3">
        <f>H45+Parameters!B5</f>
        <v>70</v>
      </c>
      <c r="I46" s="3">
        <f>I45+Parameters!B5</f>
        <v>70</v>
      </c>
      <c r="J46" s="2" t="s">
        <v>2</v>
      </c>
    </row>
    <row r="47" spans="1:16">
      <c r="A47" t="s">
        <v>12</v>
      </c>
      <c r="D47" s="6">
        <f>(D44*Parameters!B14)/(10.73*(459.6+D46))</f>
        <v>7.3691516289703593E-2</v>
      </c>
      <c r="E47" s="6">
        <f>(E44*Parameters!B14)/(10.73*(459.6+E46))</f>
        <v>7.3691516289703593E-2</v>
      </c>
      <c r="F47" s="6">
        <f>(F44*Parameters!B14)/(10.73*(459.6+F46))</f>
        <v>7.3691516289703593E-2</v>
      </c>
      <c r="G47" s="6">
        <f>(G44*Parameters!B14)/(10.73*(459.6+G46))</f>
        <v>7.3691516289703593E-2</v>
      </c>
      <c r="H47" s="6">
        <f>(H44*Parameters!B14)/(10.73*(459.6+H46))</f>
        <v>7.3691516289703593E-2</v>
      </c>
      <c r="I47" s="6">
        <f>(I44*Parameters!B14)/(10.73*(459.6+I46))</f>
        <v>7.3691516289703593E-2</v>
      </c>
      <c r="J47" s="2" t="s">
        <v>8</v>
      </c>
    </row>
    <row r="48" spans="1:16">
      <c r="A48"/>
    </row>
    <row r="49" spans="1:16">
      <c r="A49" s="5" t="s">
        <v>21</v>
      </c>
      <c r="B49" s="3"/>
      <c r="C49" s="3"/>
      <c r="D49" s="3"/>
      <c r="E49" s="3"/>
      <c r="F49" s="3"/>
      <c r="G49" s="3"/>
    </row>
    <row r="50" spans="1:16">
      <c r="A50" t="s">
        <v>15</v>
      </c>
      <c r="D50" s="4">
        <f>D44-Parameters!B10</f>
        <v>14.19</v>
      </c>
      <c r="E50" s="4">
        <f>E44-Parameters!B10</f>
        <v>14.19</v>
      </c>
      <c r="F50" s="4">
        <f>F44-Parameters!B10</f>
        <v>14.19</v>
      </c>
      <c r="G50" s="4">
        <f>G44-Parameters!B10</f>
        <v>14.19</v>
      </c>
      <c r="H50" s="4">
        <f>H44-Parameters!B10</f>
        <v>14.19</v>
      </c>
      <c r="I50" s="4">
        <f>I44-Parameters!B10</f>
        <v>14.19</v>
      </c>
      <c r="J50" s="2" t="s">
        <v>0</v>
      </c>
    </row>
    <row r="51" spans="1:16">
      <c r="A51" t="s">
        <v>16</v>
      </c>
      <c r="D51" s="3">
        <f>((D46+459.6)-(Parameters!B6+459.6))*E9</f>
        <v>0</v>
      </c>
      <c r="E51" s="3">
        <f>((E46+459.6)-(Parameters!B6+459.6))*F9</f>
        <v>0</v>
      </c>
      <c r="F51" s="3">
        <f>((F46+459.6)-(Parameters!B6+459.6))*G9</f>
        <v>0</v>
      </c>
      <c r="G51" s="3">
        <f>((G46+459.6)-(Parameters!B6+459.6))*H9</f>
        <v>0</v>
      </c>
      <c r="H51" s="3">
        <f>((H46+459.6)-(Parameters!B6+459.6))*I9</f>
        <v>0</v>
      </c>
      <c r="I51" s="3">
        <f>((I46+459.6)-(Parameters!B6+459.6))*J9</f>
        <v>0</v>
      </c>
      <c r="J51" s="2" t="s">
        <v>2</v>
      </c>
    </row>
    <row r="52" spans="1:16">
      <c r="A52" t="s">
        <v>13</v>
      </c>
      <c r="D52" s="3">
        <f t="shared" ref="D52:I52" si="5">D46-D51</f>
        <v>70</v>
      </c>
      <c r="E52" s="3">
        <f t="shared" si="5"/>
        <v>70</v>
      </c>
      <c r="F52" s="3">
        <f t="shared" si="5"/>
        <v>70</v>
      </c>
      <c r="G52" s="3">
        <f t="shared" si="5"/>
        <v>70</v>
      </c>
      <c r="H52" s="3">
        <f t="shared" si="5"/>
        <v>70</v>
      </c>
      <c r="I52" s="3">
        <f t="shared" si="5"/>
        <v>70</v>
      </c>
      <c r="J52" s="2" t="s">
        <v>2</v>
      </c>
    </row>
    <row r="53" spans="1:16">
      <c r="A53" t="s">
        <v>12</v>
      </c>
      <c r="D53" s="6">
        <f>(D50)*Parameters!B14/(10.73*(459.6+D52))</f>
        <v>7.2415693639258594E-2</v>
      </c>
      <c r="E53" s="6">
        <f>(E50)*Parameters!B14/(10.73*(459.6+E52))</f>
        <v>7.2415693639258594E-2</v>
      </c>
      <c r="F53" s="6">
        <f>(F50)*Parameters!B14/(10.73*(459.6+F52))</f>
        <v>7.2415693639258594E-2</v>
      </c>
      <c r="G53" s="6">
        <f>(G50)*Parameters!B14/(10.73*(459.6+G52))</f>
        <v>7.2415693639258594E-2</v>
      </c>
      <c r="H53" s="6">
        <f>(H50)*Parameters!B14/(10.73*(459.6+H52))</f>
        <v>7.2415693639258594E-2</v>
      </c>
      <c r="I53" s="6">
        <f>(I50)*Parameters!B14/(10.73*(459.6+I52))</f>
        <v>7.2415693639258594E-2</v>
      </c>
      <c r="J53" s="2" t="s">
        <v>8</v>
      </c>
      <c r="P53" s="1"/>
    </row>
    <row r="54" spans="1:16">
      <c r="A54"/>
      <c r="P54" s="1"/>
    </row>
    <row r="55" spans="1:16">
      <c r="A55" s="5" t="s">
        <v>11</v>
      </c>
    </row>
    <row r="56" spans="1:16">
      <c r="A56" t="s">
        <v>9</v>
      </c>
      <c r="D56" s="4">
        <f t="shared" ref="D56:I56" si="6">D50</f>
        <v>14.19</v>
      </c>
      <c r="E56" s="4">
        <f t="shared" si="6"/>
        <v>14.19</v>
      </c>
      <c r="F56" s="4">
        <f t="shared" si="6"/>
        <v>14.19</v>
      </c>
      <c r="G56" s="4">
        <f t="shared" si="6"/>
        <v>14.19</v>
      </c>
      <c r="H56" s="4">
        <f t="shared" si="6"/>
        <v>14.19</v>
      </c>
      <c r="I56" s="4">
        <f t="shared" si="6"/>
        <v>14.19</v>
      </c>
      <c r="J56" s="2" t="s">
        <v>0</v>
      </c>
    </row>
    <row r="57" spans="1:16">
      <c r="A57" t="s">
        <v>7</v>
      </c>
      <c r="D57" s="8">
        <f t="shared" ref="D57:I58" si="7">D52</f>
        <v>70</v>
      </c>
      <c r="E57" s="8">
        <f t="shared" si="7"/>
        <v>70</v>
      </c>
      <c r="F57" s="8">
        <f t="shared" si="7"/>
        <v>70</v>
      </c>
      <c r="G57" s="8">
        <f t="shared" si="7"/>
        <v>70</v>
      </c>
      <c r="H57" s="8">
        <f t="shared" si="7"/>
        <v>70</v>
      </c>
      <c r="I57" s="8">
        <f t="shared" si="7"/>
        <v>70</v>
      </c>
      <c r="J57" s="2" t="s">
        <v>2</v>
      </c>
    </row>
    <row r="58" spans="1:16">
      <c r="A58" t="s">
        <v>10</v>
      </c>
      <c r="D58" s="6">
        <f t="shared" si="7"/>
        <v>7.2415693639258594E-2</v>
      </c>
      <c r="E58" s="6">
        <f t="shared" si="7"/>
        <v>7.2415693639258594E-2</v>
      </c>
      <c r="F58" s="6">
        <f t="shared" si="7"/>
        <v>7.2415693639258594E-2</v>
      </c>
      <c r="G58" s="6">
        <f t="shared" si="7"/>
        <v>7.2415693639258594E-2</v>
      </c>
      <c r="H58" s="6">
        <f t="shared" si="7"/>
        <v>7.2415693639258594E-2</v>
      </c>
      <c r="I58" s="6">
        <f t="shared" si="7"/>
        <v>7.2415693639258594E-2</v>
      </c>
      <c r="J58" s="2" t="s">
        <v>8</v>
      </c>
    </row>
    <row r="59" spans="1:16">
      <c r="A59" t="s">
        <v>15</v>
      </c>
      <c r="D59" s="4">
        <f t="shared" ref="D59:I59" si="8">D56*E8</f>
        <v>24.122999999999998</v>
      </c>
      <c r="E59" s="4">
        <f t="shared" si="8"/>
        <v>27.244799999999998</v>
      </c>
      <c r="F59" s="4">
        <f t="shared" si="8"/>
        <v>27.244799999999998</v>
      </c>
      <c r="G59" s="4">
        <f t="shared" si="8"/>
        <v>27.244799999999998</v>
      </c>
      <c r="H59" s="4">
        <f t="shared" si="8"/>
        <v>27.244799999999998</v>
      </c>
      <c r="I59" s="4">
        <f t="shared" si="8"/>
        <v>27.244799999999998</v>
      </c>
      <c r="J59" s="2" t="s">
        <v>0</v>
      </c>
    </row>
    <row r="60" spans="1:16">
      <c r="A60" t="s">
        <v>57</v>
      </c>
      <c r="D60" s="3">
        <f>((E8^0.283 - 1) * (D57+459.6))/Parameters!B8</f>
        <v>122.58667021464399</v>
      </c>
      <c r="E60" s="3">
        <f>((F8^0.283 - 1) * (E57+459.6))/Parameters!B8</f>
        <v>153.3925149397941</v>
      </c>
      <c r="F60" s="3">
        <f>((G8^0.283 - 1) * (F57+459.6))/Parameters!B8</f>
        <v>153.3925149397941</v>
      </c>
      <c r="G60" s="3">
        <f>((H8^0.283 - 1) * (G57+459.6))/Parameters!B8</f>
        <v>153.3925149397941</v>
      </c>
      <c r="H60" s="3">
        <f>((I8^0.283 - 1) * (H57+459.6))/Parameters!B8</f>
        <v>153.3925149397941</v>
      </c>
      <c r="I60" s="3">
        <f>((J8^0.283 - 1) * (I57+459.6))/Parameters!B8</f>
        <v>153.3925149397941</v>
      </c>
      <c r="J60" s="2" t="s">
        <v>2</v>
      </c>
    </row>
    <row r="61" spans="1:16">
      <c r="A61" t="s">
        <v>13</v>
      </c>
      <c r="D61" s="3">
        <f t="shared" ref="D61:I61" si="9">D60+D57</f>
        <v>192.58667021464399</v>
      </c>
      <c r="E61" s="3">
        <f t="shared" si="9"/>
        <v>223.3925149397941</v>
      </c>
      <c r="F61" s="3">
        <f t="shared" si="9"/>
        <v>223.3925149397941</v>
      </c>
      <c r="G61" s="3">
        <f t="shared" si="9"/>
        <v>223.3925149397941</v>
      </c>
      <c r="H61" s="3">
        <f t="shared" si="9"/>
        <v>223.3925149397941</v>
      </c>
      <c r="I61" s="3">
        <f t="shared" si="9"/>
        <v>223.3925149397941</v>
      </c>
      <c r="J61" s="2" t="s">
        <v>2</v>
      </c>
    </row>
    <row r="62" spans="1:16">
      <c r="A62" t="s">
        <v>12</v>
      </c>
      <c r="D62" s="6">
        <f>(D59)*Parameters!B14/(10.73*(459.6+D61))</f>
        <v>9.9967233730551289E-2</v>
      </c>
      <c r="E62" s="6">
        <f>(E59)*Parameters!B14/(10.73*(459.6+E61))</f>
        <v>0.10781171533202744</v>
      </c>
      <c r="F62" s="6">
        <f>(F59)*Parameters!B14/(10.73*(459.6+F61))</f>
        <v>0.10781171533202744</v>
      </c>
      <c r="G62" s="6">
        <f>(G59)*Parameters!B14/(10.73*(459.6+G61))</f>
        <v>0.10781171533202744</v>
      </c>
      <c r="H62" s="6">
        <f>(H59)*Parameters!B14/(10.73*(459.6+H61))</f>
        <v>0.10781171533202744</v>
      </c>
      <c r="I62" s="6">
        <f>(I59)*Parameters!B14/(10.73*(459.6+I61))</f>
        <v>0.10781171533202744</v>
      </c>
      <c r="J62" s="2" t="s">
        <v>8</v>
      </c>
      <c r="K62"/>
    </row>
    <row r="63" spans="1:16">
      <c r="A63"/>
      <c r="D63" s="3"/>
      <c r="E63" s="3"/>
      <c r="F63" s="3"/>
      <c r="G63" s="3"/>
      <c r="H63" s="3"/>
      <c r="I63" s="3"/>
      <c r="K63"/>
    </row>
    <row r="64" spans="1:16">
      <c r="A64" s="5" t="s">
        <v>22</v>
      </c>
      <c r="K64"/>
    </row>
    <row r="65" spans="1:11">
      <c r="A65" t="s">
        <v>15</v>
      </c>
      <c r="D65" s="4">
        <f>D59-Parameters!B12</f>
        <v>23.872999999999998</v>
      </c>
      <c r="E65" s="4">
        <f>E59-Parameters!B12</f>
        <v>26.994799999999998</v>
      </c>
      <c r="F65" s="4">
        <f>F59-Parameters!B12</f>
        <v>26.994799999999998</v>
      </c>
      <c r="G65" s="4">
        <f>G59-Parameters!B12</f>
        <v>26.994799999999998</v>
      </c>
      <c r="H65" s="4">
        <f>H59-Parameters!B12</f>
        <v>26.994799999999998</v>
      </c>
      <c r="I65" s="4">
        <f>I59-Parameters!B12</f>
        <v>26.994799999999998</v>
      </c>
      <c r="J65" s="2" t="s">
        <v>0</v>
      </c>
      <c r="K65"/>
    </row>
    <row r="66" spans="1:11">
      <c r="A66" t="s">
        <v>16</v>
      </c>
      <c r="D66" s="3">
        <f>((D61+459.6)-(Parameters!B6+459.6))*E10</f>
        <v>80.910669150250769</v>
      </c>
      <c r="E66" s="3">
        <f>((E61+459.6)-(Parameters!B6+459.6))*F10</f>
        <v>102.47476045785584</v>
      </c>
      <c r="F66" s="3">
        <f>((F61+459.6)-(Parameters!B6+459.6))*G10</f>
        <v>102.47476045785584</v>
      </c>
      <c r="G66" s="3">
        <f>((G61+459.6)-(Parameters!B6+459.6))*H10</f>
        <v>102.47476045785584</v>
      </c>
      <c r="H66" s="3">
        <f>((H61+459.6)-(Parameters!B6+459.6))*I10</f>
        <v>102.47476045785584</v>
      </c>
      <c r="I66" s="3">
        <f>((I61+459.6)-(Parameters!B6+459.6))*J10</f>
        <v>102.47476045785584</v>
      </c>
      <c r="J66" s="2" t="s">
        <v>2</v>
      </c>
      <c r="K66"/>
    </row>
    <row r="67" spans="1:11">
      <c r="A67" t="s">
        <v>13</v>
      </c>
      <c r="D67" s="3">
        <f t="shared" ref="D67:I67" si="10">D61-D66</f>
        <v>111.67600106439322</v>
      </c>
      <c r="E67" s="3">
        <f t="shared" si="10"/>
        <v>120.91775448193826</v>
      </c>
      <c r="F67" s="3">
        <f t="shared" si="10"/>
        <v>120.91775448193826</v>
      </c>
      <c r="G67" s="3">
        <f t="shared" si="10"/>
        <v>120.91775448193826</v>
      </c>
      <c r="H67" s="3">
        <f t="shared" si="10"/>
        <v>120.91775448193826</v>
      </c>
      <c r="I67" s="3">
        <f t="shared" si="10"/>
        <v>120.91775448193826</v>
      </c>
      <c r="J67" s="2" t="s">
        <v>2</v>
      </c>
      <c r="K67"/>
    </row>
    <row r="68" spans="1:11">
      <c r="A68" t="s">
        <v>12</v>
      </c>
      <c r="D68" s="6">
        <f>(D65)*Parameters!B14/(10.73*(459.6+D67))</f>
        <v>0.11294299340669983</v>
      </c>
      <c r="E68" s="6">
        <f>(E65)*Parameters!B14/(10.73*(459.6+E67))</f>
        <v>0.12567904832476384</v>
      </c>
      <c r="F68" s="6">
        <f>(F65)*Parameters!B14/(10.73*(459.6+F67))</f>
        <v>0.12567904832476384</v>
      </c>
      <c r="G68" s="6">
        <f>(G65)*Parameters!B14/(10.73*(459.6+G67))</f>
        <v>0.12567904832476384</v>
      </c>
      <c r="H68" s="6">
        <f>(H65)*Parameters!B14/(10.73*(459.6+H67))</f>
        <v>0.12567904832476384</v>
      </c>
      <c r="I68" s="6">
        <f>(I65)*Parameters!B14/(10.73*(459.6+I67))</f>
        <v>0.12567904832476384</v>
      </c>
      <c r="J68" s="2" t="s">
        <v>8</v>
      </c>
      <c r="K68"/>
    </row>
    <row r="69" spans="1:11">
      <c r="E69"/>
      <c r="F69"/>
      <c r="G69"/>
      <c r="H69"/>
      <c r="I69"/>
      <c r="J69"/>
      <c r="K69"/>
    </row>
    <row r="70" spans="1:11">
      <c r="E70"/>
      <c r="F70"/>
      <c r="G70"/>
      <c r="H70"/>
      <c r="I70"/>
      <c r="J70"/>
      <c r="K70"/>
    </row>
    <row r="71" spans="1:11">
      <c r="A71" s="5" t="s">
        <v>60</v>
      </c>
      <c r="E71"/>
      <c r="F71"/>
      <c r="G71"/>
      <c r="H71"/>
      <c r="I71"/>
      <c r="J71"/>
      <c r="K71"/>
    </row>
    <row r="72" spans="1:11">
      <c r="A72" t="s">
        <v>59</v>
      </c>
      <c r="D72" s="3">
        <f t="shared" ref="D72:I73" si="11">(E7*14.69)-14.69</f>
        <v>0</v>
      </c>
      <c r="E72" s="3">
        <f t="shared" si="11"/>
        <v>0</v>
      </c>
      <c r="F72" s="3">
        <f t="shared" si="11"/>
        <v>0</v>
      </c>
      <c r="G72" s="3">
        <f t="shared" si="11"/>
        <v>0</v>
      </c>
      <c r="H72" s="3">
        <f t="shared" si="11"/>
        <v>0</v>
      </c>
      <c r="I72" s="3">
        <f t="shared" si="11"/>
        <v>0</v>
      </c>
      <c r="J72" t="s">
        <v>1</v>
      </c>
      <c r="K72"/>
    </row>
    <row r="73" spans="1:11">
      <c r="A73" t="s">
        <v>58</v>
      </c>
      <c r="D73" s="3">
        <f t="shared" si="11"/>
        <v>10.282999999999999</v>
      </c>
      <c r="E73" s="3">
        <f t="shared" si="11"/>
        <v>13.514799999999999</v>
      </c>
      <c r="F73" s="3">
        <f t="shared" si="11"/>
        <v>13.514799999999999</v>
      </c>
      <c r="G73" s="3">
        <f t="shared" si="11"/>
        <v>13.514799999999999</v>
      </c>
      <c r="H73" s="3">
        <f t="shared" si="11"/>
        <v>13.514799999999999</v>
      </c>
      <c r="I73" s="3">
        <f t="shared" si="11"/>
        <v>13.514799999999999</v>
      </c>
      <c r="J73" t="s">
        <v>1</v>
      </c>
      <c r="K73"/>
    </row>
    <row r="74" spans="1:11">
      <c r="A74" t="s">
        <v>42</v>
      </c>
      <c r="D74" s="34">
        <f>D23/Parameters!B17</f>
        <v>0.59971008338371357</v>
      </c>
      <c r="E74" s="34">
        <f>E23/Parameters!B17</f>
        <v>0.79858561956360363</v>
      </c>
      <c r="F74" s="34">
        <f>F23/Parameters!B17</f>
        <v>0.99823202445450454</v>
      </c>
      <c r="G74" s="34">
        <f>G23/Parameters!B17</f>
        <v>1.2126670519299165</v>
      </c>
      <c r="H74" s="34">
        <f>H23/Parameters!B17</f>
        <v>1.3380006283336487</v>
      </c>
      <c r="I74" s="34">
        <f>I23/Parameters!B17</f>
        <v>1.3587046999519643</v>
      </c>
      <c r="J74" t="s">
        <v>18</v>
      </c>
      <c r="K74"/>
    </row>
  </sheetData>
  <dataConsolidate/>
  <mergeCells count="21">
    <mergeCell ref="B17:C17"/>
    <mergeCell ref="A1:K1"/>
    <mergeCell ref="B5:J5"/>
    <mergeCell ref="B6:D6"/>
    <mergeCell ref="B7:D7"/>
    <mergeCell ref="B8:D8"/>
    <mergeCell ref="B9:D9"/>
    <mergeCell ref="B10:D10"/>
    <mergeCell ref="B11:D11"/>
    <mergeCell ref="B12:D12"/>
    <mergeCell ref="B13:J13"/>
    <mergeCell ref="B16:J16"/>
    <mergeCell ref="B25:C25"/>
    <mergeCell ref="B26:C26"/>
    <mergeCell ref="A40:G40"/>
    <mergeCell ref="B18:C18"/>
    <mergeCell ref="B20:C20"/>
    <mergeCell ref="B21:C21"/>
    <mergeCell ref="B22:C22"/>
    <mergeCell ref="B23:C23"/>
    <mergeCell ref="B24:C24"/>
  </mergeCells>
  <pageMargins left="0.25" right="0.25"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dimension ref="A1:V74"/>
  <sheetViews>
    <sheetView zoomScale="70" zoomScaleNormal="70" workbookViewId="0">
      <selection activeCell="G9" sqref="G9"/>
    </sheetView>
  </sheetViews>
  <sheetFormatPr defaultRowHeight="15"/>
  <cols>
    <col min="1" max="1" width="11.7109375" style="2" customWidth="1"/>
    <col min="2" max="2" width="8.28515625" style="2" customWidth="1"/>
    <col min="3" max="3" width="9.42578125" style="2" customWidth="1"/>
    <col min="4" max="10" width="8.28515625" style="2" customWidth="1"/>
    <col min="11" max="11" width="11.42578125" style="2" customWidth="1"/>
    <col min="12" max="13" width="9.140625" style="2" customWidth="1"/>
    <col min="14" max="28" width="9" style="2" customWidth="1"/>
    <col min="29" max="16384" width="9.140625" style="2"/>
  </cols>
  <sheetData>
    <row r="1" spans="1:22" ht="93" customHeight="1">
      <c r="A1" s="99" t="s">
        <v>50</v>
      </c>
      <c r="B1" s="99"/>
      <c r="C1" s="99"/>
      <c r="D1" s="99"/>
      <c r="E1" s="99"/>
      <c r="F1" s="99"/>
      <c r="G1" s="99"/>
      <c r="H1" s="99"/>
      <c r="I1" s="99"/>
      <c r="J1" s="99"/>
      <c r="K1" s="99"/>
      <c r="L1" s="33"/>
      <c r="M1" s="33"/>
      <c r="N1" s="33"/>
      <c r="O1" s="26"/>
      <c r="P1" s="26"/>
    </row>
    <row r="2" spans="1:22" ht="15" customHeight="1">
      <c r="A2" s="43"/>
      <c r="B2" s="43"/>
      <c r="C2" s="43"/>
      <c r="D2" s="43"/>
      <c r="E2" s="43"/>
      <c r="F2" s="43"/>
      <c r="G2" s="43"/>
      <c r="H2" s="43"/>
      <c r="I2" s="43"/>
      <c r="J2" s="43"/>
      <c r="K2" s="33"/>
      <c r="L2" s="33"/>
      <c r="M2" s="33"/>
      <c r="N2" s="33"/>
      <c r="O2" s="26"/>
      <c r="P2" s="26"/>
    </row>
    <row r="3" spans="1:22" ht="3" customHeight="1">
      <c r="A3" s="54"/>
      <c r="B3" s="54"/>
      <c r="C3" s="54"/>
      <c r="D3" s="54"/>
      <c r="E3" s="54"/>
      <c r="F3" s="54"/>
      <c r="G3" s="54"/>
      <c r="H3" s="54"/>
      <c r="I3" s="54"/>
      <c r="J3" s="54"/>
      <c r="K3" s="55"/>
      <c r="L3" s="33"/>
      <c r="M3" s="33"/>
      <c r="N3" s="33"/>
      <c r="O3" s="26"/>
      <c r="P3" s="26"/>
    </row>
    <row r="4" spans="1:22" ht="15" customHeight="1" thickBot="1">
      <c r="A4" s="43"/>
      <c r="B4" s="43"/>
      <c r="C4" s="43"/>
      <c r="D4" s="43"/>
      <c r="E4" s="43"/>
      <c r="F4" s="43"/>
      <c r="G4" s="43"/>
      <c r="H4" s="43"/>
      <c r="I4" s="43"/>
      <c r="J4" s="43"/>
      <c r="K4" s="33"/>
      <c r="L4" s="33"/>
      <c r="M4" s="33"/>
      <c r="N4" s="33"/>
      <c r="O4" s="26"/>
      <c r="P4" s="26"/>
    </row>
    <row r="5" spans="1:22" ht="15" customHeight="1" thickTop="1" thickBot="1">
      <c r="A5" s="33"/>
      <c r="B5" s="96" t="s">
        <v>63</v>
      </c>
      <c r="C5" s="97"/>
      <c r="D5" s="97"/>
      <c r="E5" s="97"/>
      <c r="F5" s="97"/>
      <c r="G5" s="97"/>
      <c r="H5" s="97"/>
      <c r="I5" s="97"/>
      <c r="J5" s="98"/>
      <c r="K5" s="33"/>
      <c r="L5" s="33"/>
      <c r="M5" s="33"/>
      <c r="N5" s="33"/>
      <c r="O5" s="26"/>
      <c r="P5" s="26"/>
    </row>
    <row r="6" spans="1:22" ht="15" customHeight="1" thickTop="1">
      <c r="A6" s="33"/>
      <c r="B6" s="100" t="s">
        <v>5</v>
      </c>
      <c r="C6" s="101"/>
      <c r="D6" s="101"/>
      <c r="E6" s="44">
        <v>1900</v>
      </c>
      <c r="F6" s="44">
        <v>2400</v>
      </c>
      <c r="G6" s="44">
        <v>3000</v>
      </c>
      <c r="H6" s="44">
        <v>4000</v>
      </c>
      <c r="I6" s="44">
        <v>4700</v>
      </c>
      <c r="J6" s="48">
        <v>5500</v>
      </c>
      <c r="L6" s="25"/>
      <c r="M6" s="25"/>
      <c r="N6" s="25"/>
      <c r="O6" s="26"/>
      <c r="P6" s="26"/>
    </row>
    <row r="7" spans="1:22" ht="15" customHeight="1">
      <c r="A7" s="33"/>
      <c r="B7" s="102" t="s">
        <v>51</v>
      </c>
      <c r="C7" s="103"/>
      <c r="D7" s="103"/>
      <c r="E7" s="31">
        <v>1</v>
      </c>
      <c r="F7" s="31">
        <v>1</v>
      </c>
      <c r="G7" s="31">
        <v>1</v>
      </c>
      <c r="H7" s="31">
        <v>1</v>
      </c>
      <c r="I7" s="31">
        <v>1</v>
      </c>
      <c r="J7" s="49">
        <v>1</v>
      </c>
      <c r="L7" s="32"/>
      <c r="M7" s="32"/>
      <c r="N7" s="32"/>
    </row>
    <row r="8" spans="1:22" ht="15" customHeight="1">
      <c r="A8" s="33"/>
      <c r="B8" s="102" t="s">
        <v>52</v>
      </c>
      <c r="C8" s="103"/>
      <c r="D8" s="103"/>
      <c r="E8" s="31">
        <v>1.7</v>
      </c>
      <c r="F8" s="31">
        <v>2</v>
      </c>
      <c r="G8" s="31">
        <v>2.5</v>
      </c>
      <c r="H8" s="31">
        <v>2.5</v>
      </c>
      <c r="I8" s="31">
        <v>2.5</v>
      </c>
      <c r="J8" s="49">
        <v>2.5</v>
      </c>
    </row>
    <row r="9" spans="1:22" ht="15" customHeight="1">
      <c r="A9" s="33"/>
      <c r="B9" s="87" t="s">
        <v>24</v>
      </c>
      <c r="C9" s="88"/>
      <c r="D9" s="88"/>
      <c r="E9" s="12">
        <v>0</v>
      </c>
      <c r="F9" s="12">
        <v>0</v>
      </c>
      <c r="G9" s="12">
        <v>0</v>
      </c>
      <c r="H9" s="12">
        <v>0</v>
      </c>
      <c r="I9" s="12">
        <v>0</v>
      </c>
      <c r="J9" s="50">
        <v>0</v>
      </c>
    </row>
    <row r="10" spans="1:22" ht="15" customHeight="1">
      <c r="A10" s="33"/>
      <c r="B10" s="87" t="s">
        <v>25</v>
      </c>
      <c r="C10" s="88"/>
      <c r="D10" s="88"/>
      <c r="E10" s="12">
        <v>0.7</v>
      </c>
      <c r="F10" s="12">
        <v>0.7</v>
      </c>
      <c r="G10" s="12">
        <v>0.7</v>
      </c>
      <c r="H10" s="12">
        <v>0.7</v>
      </c>
      <c r="I10" s="12">
        <v>0.7</v>
      </c>
      <c r="J10" s="50">
        <v>0.7</v>
      </c>
    </row>
    <row r="11" spans="1:22" ht="15" customHeight="1">
      <c r="B11" s="89" t="s">
        <v>37</v>
      </c>
      <c r="C11" s="90"/>
      <c r="D11" s="90"/>
      <c r="E11" s="13">
        <v>0.44400000000000001</v>
      </c>
      <c r="F11" s="13">
        <v>0.44400000000000001</v>
      </c>
      <c r="G11" s="13">
        <v>0.44400000000000001</v>
      </c>
      <c r="H11" s="13">
        <v>0.44400000000000001</v>
      </c>
      <c r="I11" s="13">
        <v>0.46</v>
      </c>
      <c r="J11" s="51">
        <v>0.5</v>
      </c>
    </row>
    <row r="12" spans="1:22" ht="15" customHeight="1" thickBot="1">
      <c r="B12" s="91" t="s">
        <v>6</v>
      </c>
      <c r="C12" s="92"/>
      <c r="D12" s="92"/>
      <c r="E12" s="52">
        <v>0.95</v>
      </c>
      <c r="F12" s="52">
        <v>0.9</v>
      </c>
      <c r="G12" s="52">
        <v>0.9</v>
      </c>
      <c r="H12" s="52">
        <v>0.82</v>
      </c>
      <c r="I12" s="52">
        <v>0.77</v>
      </c>
      <c r="J12" s="53">
        <v>0.7</v>
      </c>
      <c r="L12" s="39"/>
      <c r="M12" s="39"/>
      <c r="U12" s="11"/>
      <c r="V12" s="11"/>
    </row>
    <row r="13" spans="1:22" ht="48.75" customHeight="1" thickTop="1">
      <c r="B13" s="95" t="s">
        <v>73</v>
      </c>
      <c r="C13" s="95"/>
      <c r="D13" s="95"/>
      <c r="E13" s="95"/>
      <c r="F13" s="95"/>
      <c r="G13" s="95"/>
      <c r="H13" s="95"/>
      <c r="I13" s="95"/>
      <c r="J13" s="95"/>
      <c r="K13" s="39"/>
      <c r="L13" s="39"/>
      <c r="M13" s="39"/>
      <c r="N13" s="38"/>
      <c r="U13" s="9"/>
      <c r="V13" s="9"/>
    </row>
    <row r="14" spans="1:22" ht="3" customHeight="1">
      <c r="A14" s="54"/>
      <c r="B14" s="54"/>
      <c r="C14" s="54"/>
      <c r="D14" s="54"/>
      <c r="E14" s="54"/>
      <c r="F14" s="54"/>
      <c r="G14" s="54"/>
      <c r="H14" s="54"/>
      <c r="I14" s="54"/>
      <c r="J14" s="54"/>
      <c r="K14" s="55"/>
      <c r="L14" s="39"/>
      <c r="M14" s="39"/>
      <c r="N14" s="38"/>
      <c r="U14" s="9"/>
      <c r="V14" s="9"/>
    </row>
    <row r="15" spans="1:22" ht="14.25" customHeight="1" thickBot="1">
      <c r="U15"/>
    </row>
    <row r="16" spans="1:22" ht="15" customHeight="1" thickTop="1" thickBot="1">
      <c r="B16" s="71" t="s">
        <v>46</v>
      </c>
      <c r="C16" s="72"/>
      <c r="D16" s="72"/>
      <c r="E16" s="72"/>
      <c r="F16" s="72"/>
      <c r="G16" s="72"/>
      <c r="H16" s="72"/>
      <c r="I16" s="72"/>
      <c r="J16" s="73"/>
      <c r="K16" s="9"/>
      <c r="U16"/>
    </row>
    <row r="17" spans="1:21" ht="18.75" customHeight="1">
      <c r="B17" s="93" t="s">
        <v>40</v>
      </c>
      <c r="C17" s="94"/>
      <c r="D17" s="66">
        <f t="shared" ref="D17:I17" si="0">D74*60/E11</f>
        <v>81.041903159961294</v>
      </c>
      <c r="E17" s="66">
        <f t="shared" si="0"/>
        <v>111.84402777125207</v>
      </c>
      <c r="F17" s="66">
        <f t="shared" si="0"/>
        <v>169.82912153001456</v>
      </c>
      <c r="G17" s="66">
        <f t="shared" si="0"/>
        <v>206.31093282164738</v>
      </c>
      <c r="H17" s="66">
        <f t="shared" si="0"/>
        <v>219.71622087182169</v>
      </c>
      <c r="I17" s="66">
        <f t="shared" si="0"/>
        <v>215.0414076617829</v>
      </c>
      <c r="J17" s="67" t="s">
        <v>39</v>
      </c>
      <c r="K17" s="9"/>
      <c r="U17"/>
    </row>
    <row r="18" spans="1:21" ht="18.75" customHeight="1" thickBot="1">
      <c r="B18" s="75" t="s">
        <v>38</v>
      </c>
      <c r="C18" s="76"/>
      <c r="D18" s="64">
        <f t="shared" ref="D18:I18" si="1">D17*5252/E6</f>
        <v>224.01688178742984</v>
      </c>
      <c r="E18" s="64">
        <f t="shared" si="1"/>
        <v>244.75201410608997</v>
      </c>
      <c r="F18" s="64">
        <f t="shared" si="1"/>
        <v>297.31418209187882</v>
      </c>
      <c r="G18" s="64">
        <f t="shared" si="1"/>
        <v>270.886254794823</v>
      </c>
      <c r="H18" s="64">
        <f t="shared" si="1"/>
        <v>245.52118979123566</v>
      </c>
      <c r="I18" s="64">
        <f t="shared" si="1"/>
        <v>205.34499509812434</v>
      </c>
      <c r="J18" s="65" t="s">
        <v>41</v>
      </c>
      <c r="K18" s="9"/>
      <c r="U18"/>
    </row>
    <row r="19" spans="1:21" ht="15" customHeight="1" thickBot="1">
      <c r="A19"/>
      <c r="B19"/>
      <c r="C19"/>
      <c r="D19"/>
      <c r="E19"/>
      <c r="F19"/>
      <c r="G19"/>
      <c r="H19"/>
      <c r="I19"/>
      <c r="J19"/>
      <c r="K19"/>
      <c r="U19"/>
    </row>
    <row r="20" spans="1:21" ht="15" customHeight="1" thickTop="1">
      <c r="B20" s="69" t="s">
        <v>26</v>
      </c>
      <c r="C20" s="70"/>
      <c r="D20" s="56">
        <f>D65-Parameters!B4</f>
        <v>9.1829999999999981</v>
      </c>
      <c r="E20" s="56">
        <f>E65-Parameters!B4</f>
        <v>13.44</v>
      </c>
      <c r="F20" s="56">
        <f>F65-Parameters!B4</f>
        <v>20.535000000000004</v>
      </c>
      <c r="G20" s="56">
        <f>G65-Parameters!B4</f>
        <v>20.535000000000004</v>
      </c>
      <c r="H20" s="56">
        <f>H65-Parameters!B4</f>
        <v>20.535000000000004</v>
      </c>
      <c r="I20" s="56">
        <f>I65-Parameters!B4</f>
        <v>20.535000000000004</v>
      </c>
      <c r="J20" s="57" t="s">
        <v>1</v>
      </c>
      <c r="K20" s="9"/>
      <c r="U20"/>
    </row>
    <row r="21" spans="1:21" ht="15" customHeight="1">
      <c r="B21" s="77" t="s">
        <v>48</v>
      </c>
      <c r="C21" s="78"/>
      <c r="D21" s="58">
        <f>Parameters!B16*D24</f>
        <v>11.193001528719252</v>
      </c>
      <c r="E21" s="58">
        <f>Parameters!B16*E24</f>
        <v>15.447198609721553</v>
      </c>
      <c r="F21" s="58">
        <f>Parameters!B16*F24</f>
        <v>23.455737621986625</v>
      </c>
      <c r="G21" s="58">
        <f>Parameters!B16*G24</f>
        <v>28.494377555598568</v>
      </c>
      <c r="H21" s="58">
        <f>Parameters!B16*H24</f>
        <v>31.43937572369245</v>
      </c>
      <c r="I21" s="58">
        <f>Parameters!B16*I24</f>
        <v>33.446144386906852</v>
      </c>
      <c r="J21" s="59" t="s">
        <v>18</v>
      </c>
      <c r="K21" s="9"/>
      <c r="U21"/>
    </row>
    <row r="22" spans="1:21" ht="15" customHeight="1">
      <c r="B22" s="79" t="s">
        <v>49</v>
      </c>
      <c r="C22" s="80"/>
      <c r="D22" s="60">
        <f>Parameters!B16*D25</f>
        <v>11.390200287153347</v>
      </c>
      <c r="E22" s="60">
        <f>Parameters!B16*E25</f>
        <v>15.71934798621418</v>
      </c>
      <c r="F22" s="60">
        <f>Parameters!B16*F25</f>
        <v>23.8689817661372</v>
      </c>
      <c r="G22" s="60">
        <f>Parameters!B16*G25</f>
        <v>28.996392664048159</v>
      </c>
      <c r="H22" s="60">
        <f>Parameters!B16*H25</f>
        <v>31.993275930240941</v>
      </c>
      <c r="I22" s="60">
        <f>Parameters!B16*I25</f>
        <v>34.035399925788226</v>
      </c>
      <c r="J22" s="61" t="s">
        <v>18</v>
      </c>
      <c r="K22" s="9"/>
      <c r="U22"/>
    </row>
    <row r="23" spans="1:21" ht="15" customHeight="1">
      <c r="B23" s="81" t="s">
        <v>56</v>
      </c>
      <c r="C23" s="82"/>
      <c r="D23" s="62">
        <f>Parameters!B3/2/1728*D68*E6*E12</f>
        <v>10.794781500906844</v>
      </c>
      <c r="E23" s="62">
        <f>Parameters!B3/2/1728*E68*F6*F12</f>
        <v>14.897624499130774</v>
      </c>
      <c r="F23" s="62">
        <f>Parameters!B3/2/1728*F68*G6*G12</f>
        <v>22.621238987797941</v>
      </c>
      <c r="G23" s="62">
        <f>Parameters!B3/2/1728*G68*H6*H12</f>
        <v>27.480616251843429</v>
      </c>
      <c r="H23" s="62">
        <f>Parameters!B3/2/1728*H68*I6*I12</f>
        <v>30.320838480311394</v>
      </c>
      <c r="I23" s="62">
        <f>Parameters!B3/2/1728*I68*J6*J12</f>
        <v>32.256211149267436</v>
      </c>
      <c r="J23" s="63" t="s">
        <v>18</v>
      </c>
      <c r="P23"/>
      <c r="U23"/>
    </row>
    <row r="24" spans="1:21" ht="15" customHeight="1">
      <c r="B24" s="83" t="s">
        <v>34</v>
      </c>
      <c r="C24" s="84"/>
      <c r="D24" s="37">
        <f t="shared" ref="D24:I24" si="2">D23/D43</f>
        <v>146.4860820405608</v>
      </c>
      <c r="E24" s="37">
        <f t="shared" si="2"/>
        <v>202.1620024829414</v>
      </c>
      <c r="F24" s="37">
        <f t="shared" si="2"/>
        <v>306.97209294577442</v>
      </c>
      <c r="G24" s="37">
        <f t="shared" si="2"/>
        <v>372.91424624523711</v>
      </c>
      <c r="H24" s="37">
        <f t="shared" si="2"/>
        <v>411.45629791509549</v>
      </c>
      <c r="I24" s="37">
        <f t="shared" si="2"/>
        <v>437.71946586712278</v>
      </c>
      <c r="J24" s="45" t="s">
        <v>17</v>
      </c>
      <c r="P24"/>
      <c r="U24"/>
    </row>
    <row r="25" spans="1:21" ht="15" customHeight="1">
      <c r="B25" s="83" t="s">
        <v>35</v>
      </c>
      <c r="C25" s="84"/>
      <c r="D25" s="37">
        <f t="shared" ref="D25:I25" si="3">D23/D53</f>
        <v>149.06687982140224</v>
      </c>
      <c r="E25" s="37">
        <f t="shared" si="3"/>
        <v>205.72370090582618</v>
      </c>
      <c r="F25" s="37">
        <f t="shared" si="3"/>
        <v>312.38033982642582</v>
      </c>
      <c r="G25" s="37">
        <f t="shared" si="3"/>
        <v>379.48426467802847</v>
      </c>
      <c r="H25" s="37">
        <f t="shared" si="3"/>
        <v>418.70535178956862</v>
      </c>
      <c r="I25" s="37">
        <f t="shared" si="3"/>
        <v>445.43122530805164</v>
      </c>
      <c r="J25" s="45" t="s">
        <v>17</v>
      </c>
      <c r="P25"/>
      <c r="U25"/>
    </row>
    <row r="26" spans="1:21" ht="15" customHeight="1" thickBot="1">
      <c r="B26" s="85" t="s">
        <v>43</v>
      </c>
      <c r="C26" s="86"/>
      <c r="D26" s="46">
        <f>(D17*793000)/(E6*Parameters!B3)</f>
        <v>184.8324107157012</v>
      </c>
      <c r="E26" s="46">
        <f>(E17*793000)/(F6*Parameters!B3)</f>
        <v>201.94060569809403</v>
      </c>
      <c r="F26" s="46">
        <f>(F17*793000)/(G6*Parameters!B3)</f>
        <v>245.3087310989099</v>
      </c>
      <c r="G26" s="46">
        <f>(G17*793000)/(H6*Parameters!B3)</f>
        <v>223.50351055678465</v>
      </c>
      <c r="H26" s="46">
        <f>(H17*793000)/(I6*Parameters!B3)</f>
        <v>202.57523910167959</v>
      </c>
      <c r="I26" s="46">
        <f>(I17*793000)/(J6*Parameters!B3)</f>
        <v>169.4265636123138</v>
      </c>
      <c r="J26" s="47" t="s">
        <v>44</v>
      </c>
      <c r="K26" s="41"/>
      <c r="P26"/>
      <c r="U26"/>
    </row>
    <row r="27" spans="1:21" ht="18.75" customHeight="1" thickTop="1">
      <c r="P27"/>
      <c r="U27"/>
    </row>
    <row r="28" spans="1:21" ht="18.75" customHeight="1">
      <c r="P28"/>
      <c r="U28"/>
    </row>
    <row r="29" spans="1:21" ht="18.75" customHeight="1">
      <c r="L29" s="9"/>
      <c r="M29" s="9"/>
      <c r="N29" s="9"/>
    </row>
    <row r="30" spans="1:21" ht="18.75" customHeight="1">
      <c r="L30" s="9"/>
      <c r="M30" s="9"/>
      <c r="N30" s="9"/>
    </row>
    <row r="31" spans="1:21" ht="18.75" customHeight="1">
      <c r="L31" s="9"/>
      <c r="M31" s="9"/>
      <c r="N31" s="9"/>
    </row>
    <row r="32" spans="1:21" ht="18.75" customHeight="1"/>
    <row r="33" spans="1:16" ht="18.75" customHeight="1"/>
    <row r="34" spans="1:16" ht="18.75" customHeight="1"/>
    <row r="35" spans="1:16" ht="18.75" customHeight="1"/>
    <row r="36" spans="1:16" ht="18.75" customHeight="1"/>
    <row r="37" spans="1:16" ht="18.75" customHeight="1"/>
    <row r="38" spans="1:16" ht="18.75" customHeight="1"/>
    <row r="40" spans="1:16" ht="18.75">
      <c r="A40" s="74" t="s">
        <v>47</v>
      </c>
      <c r="B40" s="74"/>
      <c r="C40" s="74"/>
      <c r="D40" s="74"/>
      <c r="E40" s="74"/>
      <c r="F40" s="74"/>
      <c r="G40" s="74"/>
    </row>
    <row r="41" spans="1:16">
      <c r="A41" s="5" t="s">
        <v>4</v>
      </c>
    </row>
    <row r="42" spans="1:16">
      <c r="A42" t="s">
        <v>9</v>
      </c>
      <c r="D42" s="4">
        <f>Parameters!B4-Parameters!B9</f>
        <v>14.44</v>
      </c>
      <c r="E42" s="4">
        <f>Parameters!B4-Parameters!B9</f>
        <v>14.44</v>
      </c>
      <c r="F42" s="4">
        <f>Parameters!B4-Parameters!B9</f>
        <v>14.44</v>
      </c>
      <c r="G42" s="4">
        <f>Parameters!B4-Parameters!B9</f>
        <v>14.44</v>
      </c>
      <c r="H42" s="4">
        <f>Parameters!B4-Parameters!B9</f>
        <v>14.44</v>
      </c>
      <c r="I42" s="4">
        <f>Parameters!B4-Parameters!B9</f>
        <v>14.44</v>
      </c>
      <c r="J42" s="2" t="s">
        <v>0</v>
      </c>
    </row>
    <row r="43" spans="1:16">
      <c r="A43" t="s">
        <v>10</v>
      </c>
      <c r="D43" s="6">
        <f>(D42)*Parameters!B14/(10.73*(459.6+Parameters!B5))</f>
        <v>7.3691516289703593E-2</v>
      </c>
      <c r="E43" s="6">
        <f>(E42)*Parameters!B14/(10.73*(459.6+Parameters!B5))</f>
        <v>7.3691516289703593E-2</v>
      </c>
      <c r="F43" s="6">
        <f>(F42)*Parameters!B14/(10.73*(459.6+Parameters!B5))</f>
        <v>7.3691516289703593E-2</v>
      </c>
      <c r="G43" s="6">
        <f>(G42)*Parameters!B14/(10.73*(459.6+Parameters!B5))</f>
        <v>7.3691516289703593E-2</v>
      </c>
      <c r="H43" s="6">
        <f>(H42)*Parameters!B14/(10.73*(459.6+Parameters!B5))</f>
        <v>7.3691516289703593E-2</v>
      </c>
      <c r="I43" s="6">
        <f>(I42)*Parameters!B14/(10.73*(459.6+Parameters!B5))</f>
        <v>7.3691516289703593E-2</v>
      </c>
      <c r="J43" s="2" t="s">
        <v>8</v>
      </c>
      <c r="P43" s="7"/>
    </row>
    <row r="44" spans="1:16">
      <c r="A44" t="s">
        <v>15</v>
      </c>
      <c r="D44" s="3">
        <f t="shared" ref="D44:I44" si="4">D42*E7</f>
        <v>14.44</v>
      </c>
      <c r="E44" s="3">
        <f t="shared" si="4"/>
        <v>14.44</v>
      </c>
      <c r="F44" s="3">
        <f t="shared" si="4"/>
        <v>14.44</v>
      </c>
      <c r="G44" s="3">
        <f t="shared" si="4"/>
        <v>14.44</v>
      </c>
      <c r="H44" s="3">
        <f t="shared" si="4"/>
        <v>14.44</v>
      </c>
      <c r="I44" s="3">
        <f t="shared" si="4"/>
        <v>14.44</v>
      </c>
      <c r="J44" s="2" t="s">
        <v>0</v>
      </c>
    </row>
    <row r="45" spans="1:16">
      <c r="A45" t="s">
        <v>14</v>
      </c>
      <c r="D45" s="3">
        <f>((E7^0.283 - 1) * (Parameters!B5+459.6))/Parameters!B7</f>
        <v>0</v>
      </c>
      <c r="E45" s="3">
        <f>((F7^0.283 - 1) * (Parameters!B5+459.6))/Parameters!B7</f>
        <v>0</v>
      </c>
      <c r="F45" s="3">
        <f>((G7^0.283 - 1) * (Parameters!B5+459.6))/Parameters!B7</f>
        <v>0</v>
      </c>
      <c r="G45" s="3">
        <f>((H7^0.283 - 1) * (Parameters!B5+459.6))/Parameters!B7</f>
        <v>0</v>
      </c>
      <c r="H45" s="3">
        <f>((I7^0.283 - 1) * (Parameters!B5+459.6))/Parameters!B7</f>
        <v>0</v>
      </c>
      <c r="I45" s="3">
        <f>((J7^0.283 - 1) * (Parameters!B5+459.6))/Parameters!B7</f>
        <v>0</v>
      </c>
      <c r="J45" s="2" t="s">
        <v>2</v>
      </c>
    </row>
    <row r="46" spans="1:16">
      <c r="A46" t="s">
        <v>13</v>
      </c>
      <c r="D46" s="3">
        <f>D45+Parameters!B5</f>
        <v>70</v>
      </c>
      <c r="E46" s="3">
        <f>E45+Parameters!B5</f>
        <v>70</v>
      </c>
      <c r="F46" s="3">
        <f>F45+Parameters!B5</f>
        <v>70</v>
      </c>
      <c r="G46" s="3">
        <f>G45+Parameters!B5</f>
        <v>70</v>
      </c>
      <c r="H46" s="3">
        <f>H45+Parameters!B5</f>
        <v>70</v>
      </c>
      <c r="I46" s="3">
        <f>I45+Parameters!B5</f>
        <v>70</v>
      </c>
      <c r="J46" s="2" t="s">
        <v>2</v>
      </c>
    </row>
    <row r="47" spans="1:16">
      <c r="A47" t="s">
        <v>12</v>
      </c>
      <c r="D47" s="6">
        <f>(D44*Parameters!B14)/(10.73*(459.6+D46))</f>
        <v>7.3691516289703593E-2</v>
      </c>
      <c r="E47" s="6">
        <f>(E44*Parameters!B14)/(10.73*(459.6+E46))</f>
        <v>7.3691516289703593E-2</v>
      </c>
      <c r="F47" s="6">
        <f>(F44*Parameters!B14)/(10.73*(459.6+F46))</f>
        <v>7.3691516289703593E-2</v>
      </c>
      <c r="G47" s="6">
        <f>(G44*Parameters!B14)/(10.73*(459.6+G46))</f>
        <v>7.3691516289703593E-2</v>
      </c>
      <c r="H47" s="6">
        <f>(H44*Parameters!B14)/(10.73*(459.6+H46))</f>
        <v>7.3691516289703593E-2</v>
      </c>
      <c r="I47" s="6">
        <f>(I44*Parameters!B14)/(10.73*(459.6+I46))</f>
        <v>7.3691516289703593E-2</v>
      </c>
      <c r="J47" s="2" t="s">
        <v>8</v>
      </c>
    </row>
    <row r="48" spans="1:16">
      <c r="A48"/>
    </row>
    <row r="49" spans="1:16">
      <c r="A49" s="5" t="s">
        <v>21</v>
      </c>
      <c r="B49" s="3"/>
      <c r="C49" s="3"/>
      <c r="D49" s="3"/>
      <c r="E49" s="3"/>
      <c r="F49" s="3"/>
      <c r="G49" s="3"/>
    </row>
    <row r="50" spans="1:16">
      <c r="A50" t="s">
        <v>15</v>
      </c>
      <c r="D50" s="4">
        <f>D44-Parameters!B10</f>
        <v>14.19</v>
      </c>
      <c r="E50" s="4">
        <f>E44-Parameters!B10</f>
        <v>14.19</v>
      </c>
      <c r="F50" s="4">
        <f>F44-Parameters!B10</f>
        <v>14.19</v>
      </c>
      <c r="G50" s="4">
        <f>G44-Parameters!B10</f>
        <v>14.19</v>
      </c>
      <c r="H50" s="4">
        <f>H44-Parameters!B10</f>
        <v>14.19</v>
      </c>
      <c r="I50" s="4">
        <f>I44-Parameters!B10</f>
        <v>14.19</v>
      </c>
      <c r="J50" s="2" t="s">
        <v>0</v>
      </c>
    </row>
    <row r="51" spans="1:16">
      <c r="A51" t="s">
        <v>16</v>
      </c>
      <c r="D51" s="3">
        <f>((D46+459.6)-(Parameters!B6+459.6))*E9</f>
        <v>0</v>
      </c>
      <c r="E51" s="3">
        <f>((E46+459.6)-(Parameters!B6+459.6))*F9</f>
        <v>0</v>
      </c>
      <c r="F51" s="3">
        <f>((F46+459.6)-(Parameters!B6+459.6))*G9</f>
        <v>0</v>
      </c>
      <c r="G51" s="3">
        <f>((G46+459.6)-(Parameters!B6+459.6))*H9</f>
        <v>0</v>
      </c>
      <c r="H51" s="3">
        <f>((H46+459.6)-(Parameters!B6+459.6))*I9</f>
        <v>0</v>
      </c>
      <c r="I51" s="3">
        <f>((I46+459.6)-(Parameters!B6+459.6))*J9</f>
        <v>0</v>
      </c>
      <c r="J51" s="2" t="s">
        <v>2</v>
      </c>
    </row>
    <row r="52" spans="1:16">
      <c r="A52" t="s">
        <v>13</v>
      </c>
      <c r="D52" s="3">
        <f t="shared" ref="D52:I52" si="5">D46-D51</f>
        <v>70</v>
      </c>
      <c r="E52" s="3">
        <f t="shared" si="5"/>
        <v>70</v>
      </c>
      <c r="F52" s="3">
        <f t="shared" si="5"/>
        <v>70</v>
      </c>
      <c r="G52" s="3">
        <f t="shared" si="5"/>
        <v>70</v>
      </c>
      <c r="H52" s="3">
        <f t="shared" si="5"/>
        <v>70</v>
      </c>
      <c r="I52" s="3">
        <f t="shared" si="5"/>
        <v>70</v>
      </c>
      <c r="J52" s="2" t="s">
        <v>2</v>
      </c>
    </row>
    <row r="53" spans="1:16">
      <c r="A53" t="s">
        <v>12</v>
      </c>
      <c r="D53" s="6">
        <f>(D50)*Parameters!B14/(10.73*(459.6+D52))</f>
        <v>7.2415693639258594E-2</v>
      </c>
      <c r="E53" s="6">
        <f>(E50)*Parameters!B14/(10.73*(459.6+E52))</f>
        <v>7.2415693639258594E-2</v>
      </c>
      <c r="F53" s="6">
        <f>(F50)*Parameters!B14/(10.73*(459.6+F52))</f>
        <v>7.2415693639258594E-2</v>
      </c>
      <c r="G53" s="6">
        <f>(G50)*Parameters!B14/(10.73*(459.6+G52))</f>
        <v>7.2415693639258594E-2</v>
      </c>
      <c r="H53" s="6">
        <f>(H50)*Parameters!B14/(10.73*(459.6+H52))</f>
        <v>7.2415693639258594E-2</v>
      </c>
      <c r="I53" s="6">
        <f>(I50)*Parameters!B14/(10.73*(459.6+I52))</f>
        <v>7.2415693639258594E-2</v>
      </c>
      <c r="J53" s="2" t="s">
        <v>8</v>
      </c>
      <c r="P53" s="1"/>
    </row>
    <row r="54" spans="1:16">
      <c r="A54"/>
      <c r="P54" s="1"/>
    </row>
    <row r="55" spans="1:16">
      <c r="A55" s="5" t="s">
        <v>11</v>
      </c>
    </row>
    <row r="56" spans="1:16">
      <c r="A56" t="s">
        <v>9</v>
      </c>
      <c r="D56" s="4">
        <f t="shared" ref="D56:I56" si="6">D50</f>
        <v>14.19</v>
      </c>
      <c r="E56" s="4">
        <f t="shared" si="6"/>
        <v>14.19</v>
      </c>
      <c r="F56" s="4">
        <f t="shared" si="6"/>
        <v>14.19</v>
      </c>
      <c r="G56" s="4">
        <f t="shared" si="6"/>
        <v>14.19</v>
      </c>
      <c r="H56" s="4">
        <f t="shared" si="6"/>
        <v>14.19</v>
      </c>
      <c r="I56" s="4">
        <f t="shared" si="6"/>
        <v>14.19</v>
      </c>
      <c r="J56" s="2" t="s">
        <v>0</v>
      </c>
    </row>
    <row r="57" spans="1:16">
      <c r="A57" t="s">
        <v>7</v>
      </c>
      <c r="D57" s="8">
        <f t="shared" ref="D57:I58" si="7">D52</f>
        <v>70</v>
      </c>
      <c r="E57" s="8">
        <f t="shared" si="7"/>
        <v>70</v>
      </c>
      <c r="F57" s="8">
        <f t="shared" si="7"/>
        <v>70</v>
      </c>
      <c r="G57" s="8">
        <f t="shared" si="7"/>
        <v>70</v>
      </c>
      <c r="H57" s="8">
        <f t="shared" si="7"/>
        <v>70</v>
      </c>
      <c r="I57" s="8">
        <f t="shared" si="7"/>
        <v>70</v>
      </c>
      <c r="J57" s="2" t="s">
        <v>2</v>
      </c>
    </row>
    <row r="58" spans="1:16">
      <c r="A58" t="s">
        <v>10</v>
      </c>
      <c r="D58" s="6">
        <f t="shared" si="7"/>
        <v>7.2415693639258594E-2</v>
      </c>
      <c r="E58" s="6">
        <f t="shared" si="7"/>
        <v>7.2415693639258594E-2</v>
      </c>
      <c r="F58" s="6">
        <f t="shared" si="7"/>
        <v>7.2415693639258594E-2</v>
      </c>
      <c r="G58" s="6">
        <f t="shared" si="7"/>
        <v>7.2415693639258594E-2</v>
      </c>
      <c r="H58" s="6">
        <f t="shared" si="7"/>
        <v>7.2415693639258594E-2</v>
      </c>
      <c r="I58" s="6">
        <f t="shared" si="7"/>
        <v>7.2415693639258594E-2</v>
      </c>
      <c r="J58" s="2" t="s">
        <v>8</v>
      </c>
    </row>
    <row r="59" spans="1:16">
      <c r="A59" t="s">
        <v>15</v>
      </c>
      <c r="D59" s="4">
        <f t="shared" ref="D59:I59" si="8">D56*E8</f>
        <v>24.122999999999998</v>
      </c>
      <c r="E59" s="4">
        <f t="shared" si="8"/>
        <v>28.38</v>
      </c>
      <c r="F59" s="4">
        <f t="shared" si="8"/>
        <v>35.475000000000001</v>
      </c>
      <c r="G59" s="4">
        <f t="shared" si="8"/>
        <v>35.475000000000001</v>
      </c>
      <c r="H59" s="4">
        <f t="shared" si="8"/>
        <v>35.475000000000001</v>
      </c>
      <c r="I59" s="4">
        <f t="shared" si="8"/>
        <v>35.475000000000001</v>
      </c>
      <c r="J59" s="2" t="s">
        <v>0</v>
      </c>
    </row>
    <row r="60" spans="1:16">
      <c r="A60" t="s">
        <v>57</v>
      </c>
      <c r="D60" s="3">
        <f>((E8^0.283 - 1) * (D57+459.6))/Parameters!B8</f>
        <v>122.58667021464399</v>
      </c>
      <c r="E60" s="3">
        <f>((F8^0.283 - 1) * (E57+459.6))/Parameters!B8</f>
        <v>163.96594447514605</v>
      </c>
      <c r="F60" s="3">
        <f>((G8^0.283 - 1) * (F57+459.6))/Parameters!B8</f>
        <v>223.97228313752728</v>
      </c>
      <c r="G60" s="3">
        <f>((H8^0.283 - 1) * (G57+459.6))/Parameters!B8</f>
        <v>223.97228313752728</v>
      </c>
      <c r="H60" s="3">
        <f>((I8^0.283 - 1) * (H57+459.6))/Parameters!B8</f>
        <v>223.97228313752728</v>
      </c>
      <c r="I60" s="3">
        <f>((J8^0.283 - 1) * (I57+459.6))/Parameters!B8</f>
        <v>223.97228313752728</v>
      </c>
      <c r="J60" s="2" t="s">
        <v>2</v>
      </c>
    </row>
    <row r="61" spans="1:16">
      <c r="A61" t="s">
        <v>13</v>
      </c>
      <c r="D61" s="3">
        <f t="shared" ref="D61:I61" si="9">D60+D57</f>
        <v>192.58667021464399</v>
      </c>
      <c r="E61" s="3">
        <f t="shared" si="9"/>
        <v>233.96594447514605</v>
      </c>
      <c r="F61" s="3">
        <f t="shared" si="9"/>
        <v>293.97228313752726</v>
      </c>
      <c r="G61" s="3">
        <f t="shared" si="9"/>
        <v>293.97228313752726</v>
      </c>
      <c r="H61" s="3">
        <f t="shared" si="9"/>
        <v>293.97228313752726</v>
      </c>
      <c r="I61" s="3">
        <f t="shared" si="9"/>
        <v>293.97228313752726</v>
      </c>
      <c r="J61" s="2" t="s">
        <v>2</v>
      </c>
    </row>
    <row r="62" spans="1:16">
      <c r="A62" t="s">
        <v>12</v>
      </c>
      <c r="D62" s="6">
        <f>(D59)*Parameters!B14/(10.73*(459.6+D61))</f>
        <v>9.9967233730551289E-2</v>
      </c>
      <c r="E62" s="6">
        <f>(E59)*Parameters!B14/(10.73*(459.6+E61))</f>
        <v>0.11059179493126241</v>
      </c>
      <c r="F62" s="6">
        <f>(F59)*Parameters!B14/(10.73*(459.6+F61))</f>
        <v>0.12723182702419078</v>
      </c>
      <c r="G62" s="6">
        <f>(G59)*Parameters!B14/(10.73*(459.6+G61))</f>
        <v>0.12723182702419078</v>
      </c>
      <c r="H62" s="6">
        <f>(H59)*Parameters!B14/(10.73*(459.6+H61))</f>
        <v>0.12723182702419078</v>
      </c>
      <c r="I62" s="6">
        <f>(I59)*Parameters!B14/(10.73*(459.6+I61))</f>
        <v>0.12723182702419078</v>
      </c>
      <c r="J62" s="2" t="s">
        <v>8</v>
      </c>
      <c r="K62"/>
    </row>
    <row r="63" spans="1:16">
      <c r="A63"/>
      <c r="D63" s="3"/>
      <c r="E63" s="3"/>
      <c r="F63" s="3"/>
      <c r="G63" s="3"/>
      <c r="H63" s="3"/>
      <c r="I63" s="3"/>
      <c r="K63"/>
    </row>
    <row r="64" spans="1:16">
      <c r="A64" s="5" t="s">
        <v>22</v>
      </c>
      <c r="K64"/>
    </row>
    <row r="65" spans="1:11">
      <c r="A65" t="s">
        <v>15</v>
      </c>
      <c r="D65" s="4">
        <f>D59-Parameters!B12</f>
        <v>23.872999999999998</v>
      </c>
      <c r="E65" s="4">
        <f>E59-Parameters!B12</f>
        <v>28.13</v>
      </c>
      <c r="F65" s="4">
        <f>F59-Parameters!B12</f>
        <v>35.225000000000001</v>
      </c>
      <c r="G65" s="4">
        <f>G59-Parameters!B12</f>
        <v>35.225000000000001</v>
      </c>
      <c r="H65" s="4">
        <f>H59-Parameters!B12</f>
        <v>35.225000000000001</v>
      </c>
      <c r="I65" s="4">
        <f>I59-Parameters!B12</f>
        <v>35.225000000000001</v>
      </c>
      <c r="J65" s="2" t="s">
        <v>0</v>
      </c>
      <c r="K65"/>
    </row>
    <row r="66" spans="1:11">
      <c r="A66" t="s">
        <v>16</v>
      </c>
      <c r="D66" s="3">
        <f>((D61+459.6)-(Parameters!B6+459.6))*E10</f>
        <v>80.910669150250769</v>
      </c>
      <c r="E66" s="3">
        <f>((E61+459.6)-(Parameters!B6+459.6))*F10</f>
        <v>109.87616113260226</v>
      </c>
      <c r="F66" s="3">
        <f>((F61+459.6)-(Parameters!B6+459.6))*G10</f>
        <v>151.88059819626906</v>
      </c>
      <c r="G66" s="3">
        <f>((G61+459.6)-(Parameters!B6+459.6))*H10</f>
        <v>151.88059819626906</v>
      </c>
      <c r="H66" s="3">
        <f>((H61+459.6)-(Parameters!B6+459.6))*I10</f>
        <v>151.88059819626906</v>
      </c>
      <c r="I66" s="3">
        <f>((I61+459.6)-(Parameters!B6+459.6))*J10</f>
        <v>151.88059819626906</v>
      </c>
      <c r="J66" s="2" t="s">
        <v>2</v>
      </c>
      <c r="K66"/>
    </row>
    <row r="67" spans="1:11">
      <c r="A67" t="s">
        <v>13</v>
      </c>
      <c r="D67" s="3">
        <f t="shared" ref="D67:I67" si="10">D61-D66</f>
        <v>111.67600106439322</v>
      </c>
      <c r="E67" s="3">
        <f t="shared" si="10"/>
        <v>124.08978334254378</v>
      </c>
      <c r="F67" s="3">
        <f t="shared" si="10"/>
        <v>142.09168494125819</v>
      </c>
      <c r="G67" s="3">
        <f t="shared" si="10"/>
        <v>142.09168494125819</v>
      </c>
      <c r="H67" s="3">
        <f t="shared" si="10"/>
        <v>142.09168494125819</v>
      </c>
      <c r="I67" s="3">
        <f t="shared" si="10"/>
        <v>142.09168494125819</v>
      </c>
      <c r="J67" s="2" t="s">
        <v>2</v>
      </c>
      <c r="K67"/>
    </row>
    <row r="68" spans="1:11">
      <c r="A68" t="s">
        <v>12</v>
      </c>
      <c r="D68" s="6">
        <f>(D65)*Parameters!B14/(10.73*(459.6+D67))</f>
        <v>0.11294299340669983</v>
      </c>
      <c r="E68" s="6">
        <f>(E65)*Parameters!B14/(10.73*(459.6+E67))</f>
        <v>0.13025245463720897</v>
      </c>
      <c r="F68" s="6">
        <f>(F65)*Parameters!B14/(10.73*(459.6+F67))</f>
        <v>0.15822505958678343</v>
      </c>
      <c r="G68" s="6">
        <f>(G65)*Parameters!B14/(10.73*(459.6+G67))</f>
        <v>0.15822505958678343</v>
      </c>
      <c r="H68" s="6">
        <f>(H65)*Parameters!B14/(10.73*(459.6+H67))</f>
        <v>0.15822505958678343</v>
      </c>
      <c r="I68" s="6">
        <f>(I65)*Parameters!B14/(10.73*(459.6+I67))</f>
        <v>0.15822505958678343</v>
      </c>
      <c r="J68" s="2" t="s">
        <v>8</v>
      </c>
      <c r="K68"/>
    </row>
    <row r="69" spans="1:11">
      <c r="E69"/>
      <c r="F69"/>
      <c r="G69"/>
      <c r="H69"/>
      <c r="I69"/>
      <c r="J69"/>
      <c r="K69"/>
    </row>
    <row r="70" spans="1:11">
      <c r="E70"/>
      <c r="F70"/>
      <c r="G70"/>
      <c r="H70"/>
      <c r="I70"/>
      <c r="J70"/>
      <c r="K70"/>
    </row>
    <row r="71" spans="1:11">
      <c r="A71" s="5" t="s">
        <v>60</v>
      </c>
      <c r="E71"/>
      <c r="F71"/>
      <c r="G71"/>
      <c r="H71"/>
      <c r="I71"/>
      <c r="J71"/>
      <c r="K71"/>
    </row>
    <row r="72" spans="1:11">
      <c r="A72" t="s">
        <v>59</v>
      </c>
      <c r="D72" s="3">
        <f t="shared" ref="D72:I73" si="11">(E7*14.69)-14.69</f>
        <v>0</v>
      </c>
      <c r="E72" s="3">
        <f t="shared" si="11"/>
        <v>0</v>
      </c>
      <c r="F72" s="3">
        <f t="shared" si="11"/>
        <v>0</v>
      </c>
      <c r="G72" s="3">
        <f t="shared" si="11"/>
        <v>0</v>
      </c>
      <c r="H72" s="3">
        <f t="shared" si="11"/>
        <v>0</v>
      </c>
      <c r="I72" s="3">
        <f t="shared" si="11"/>
        <v>0</v>
      </c>
      <c r="J72" t="s">
        <v>1</v>
      </c>
      <c r="K72"/>
    </row>
    <row r="73" spans="1:11">
      <c r="A73" t="s">
        <v>58</v>
      </c>
      <c r="D73" s="3">
        <f t="shared" si="11"/>
        <v>10.282999999999999</v>
      </c>
      <c r="E73" s="3">
        <f t="shared" si="11"/>
        <v>14.69</v>
      </c>
      <c r="F73" s="3">
        <f t="shared" si="11"/>
        <v>22.035000000000004</v>
      </c>
      <c r="G73" s="3">
        <f t="shared" si="11"/>
        <v>22.035000000000004</v>
      </c>
      <c r="H73" s="3">
        <f t="shared" si="11"/>
        <v>22.035000000000004</v>
      </c>
      <c r="I73" s="3">
        <f t="shared" si="11"/>
        <v>22.035000000000004</v>
      </c>
      <c r="J73" t="s">
        <v>1</v>
      </c>
      <c r="K73"/>
    </row>
    <row r="74" spans="1:11">
      <c r="A74" t="s">
        <v>42</v>
      </c>
      <c r="D74" s="34">
        <f>D23/Parameters!B17</f>
        <v>0.59971008338371357</v>
      </c>
      <c r="E74" s="34">
        <f>E23/Parameters!B17</f>
        <v>0.8276458055072653</v>
      </c>
      <c r="F74" s="34">
        <f>F23/Parameters!B17</f>
        <v>1.2567354993221078</v>
      </c>
      <c r="G74" s="34">
        <f>G23/Parameters!B17</f>
        <v>1.5267009028801906</v>
      </c>
      <c r="H74" s="34">
        <f>H23/Parameters!B17</f>
        <v>1.6844910266839663</v>
      </c>
      <c r="I74" s="34">
        <f>I23/Parameters!B17</f>
        <v>1.7920117305148575</v>
      </c>
      <c r="J74" t="s">
        <v>18</v>
      </c>
      <c r="K74"/>
    </row>
  </sheetData>
  <dataConsolidate/>
  <mergeCells count="21">
    <mergeCell ref="B17:C17"/>
    <mergeCell ref="A1:K1"/>
    <mergeCell ref="B5:J5"/>
    <mergeCell ref="B6:D6"/>
    <mergeCell ref="B7:D7"/>
    <mergeCell ref="B8:D8"/>
    <mergeCell ref="B9:D9"/>
    <mergeCell ref="B10:D10"/>
    <mergeCell ref="B11:D11"/>
    <mergeCell ref="B12:D12"/>
    <mergeCell ref="B13:J13"/>
    <mergeCell ref="B16:J16"/>
    <mergeCell ref="B25:C25"/>
    <mergeCell ref="B26:C26"/>
    <mergeCell ref="A40:G40"/>
    <mergeCell ref="B18:C18"/>
    <mergeCell ref="B20:C20"/>
    <mergeCell ref="B21:C21"/>
    <mergeCell ref="B22:C22"/>
    <mergeCell ref="B23:C23"/>
    <mergeCell ref="B24:C24"/>
  </mergeCells>
  <pageMargins left="0.25" right="0.25"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Parameters</vt:lpstr>
      <vt:lpstr>OM603 Stock</vt:lpstr>
      <vt:lpstr>OM603 Aftercooled</vt:lpstr>
      <vt:lpstr>OM603 Super 60</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Robbins</dc:creator>
  <cp:lastModifiedBy>John Robbins</cp:lastModifiedBy>
  <cp:lastPrinted>2010-01-12T20:41:47Z</cp:lastPrinted>
  <dcterms:created xsi:type="dcterms:W3CDTF">2009-10-14T00:49:39Z</dcterms:created>
  <dcterms:modified xsi:type="dcterms:W3CDTF">2010-01-12T22:29:34Z</dcterms:modified>
</cp:coreProperties>
</file>